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715" windowWidth="28065" windowHeight="11535"/>
  </bookViews>
  <sheets>
    <sheet name="2023年第一批全省普通公路灾毁修复计划资金因素法分配建议表" sheetId="5" r:id="rId1"/>
  </sheets>
  <definedNames>
    <definedName name="_xlnm.Print_Titles" localSheetId="0">'2023年第一批全省普通公路灾毁修复计划资金因素法分配建议表'!$3:$4</definedName>
  </definedNames>
  <calcPr calcId="145621"/>
  <oleSize ref="A1:AC60"/>
</workbook>
</file>

<file path=xl/sharedStrings.xml><?xml version="1.0" encoding="utf-8"?>
<sst xmlns="http://schemas.openxmlformats.org/spreadsheetml/2006/main" count="98" uniqueCount="81">
  <si>
    <t>仁化县</t>
  </si>
  <si>
    <t>翁源县</t>
  </si>
  <si>
    <t>南澳县</t>
  </si>
  <si>
    <t>徐闻县</t>
  </si>
  <si>
    <t>廉江市</t>
  </si>
  <si>
    <t>雷州市</t>
  </si>
  <si>
    <t>高州市</t>
  </si>
  <si>
    <t>化州市</t>
  </si>
  <si>
    <t>怀集县</t>
  </si>
  <si>
    <t>封开县</t>
  </si>
  <si>
    <t>德庆县</t>
  </si>
  <si>
    <t>博罗县</t>
  </si>
  <si>
    <t>大埔县</t>
  </si>
  <si>
    <t>丰顺县</t>
  </si>
  <si>
    <t>五华县</t>
  </si>
  <si>
    <t>兴宁市</t>
  </si>
  <si>
    <t>海丰县</t>
  </si>
  <si>
    <t>陆河县</t>
  </si>
  <si>
    <t>陆丰市</t>
  </si>
  <si>
    <t>龙川县</t>
  </si>
  <si>
    <t>连平县</t>
  </si>
  <si>
    <t>阳春市</t>
  </si>
  <si>
    <t>英德市</t>
  </si>
  <si>
    <t>揭西县</t>
  </si>
  <si>
    <t>普宁市</t>
  </si>
  <si>
    <t>新兴县</t>
  </si>
  <si>
    <t>罗定市</t>
  </si>
  <si>
    <t>序号</t>
    <phoneticPr fontId="21" type="noConversion"/>
  </si>
  <si>
    <t>非直管县</t>
  </si>
  <si>
    <t>非直管县</t>
    <phoneticPr fontId="21" type="noConversion"/>
  </si>
  <si>
    <t>P</t>
    <phoneticPr fontId="23" type="noConversion"/>
  </si>
  <si>
    <t>C</t>
    <phoneticPr fontId="23" type="noConversion"/>
  </si>
  <si>
    <t>A</t>
    <phoneticPr fontId="23" type="noConversion"/>
  </si>
  <si>
    <t>B</t>
    <phoneticPr fontId="23" type="noConversion"/>
  </si>
  <si>
    <t>K</t>
    <phoneticPr fontId="21" type="noConversion"/>
  </si>
  <si>
    <t>地区系数</t>
    <phoneticPr fontId="23" type="noConversion"/>
  </si>
  <si>
    <t>农村公路里程系数</t>
    <phoneticPr fontId="23" type="noConversion"/>
  </si>
  <si>
    <t>全省合计</t>
    <phoneticPr fontId="21" type="noConversion"/>
  </si>
  <si>
    <t>农村公路分配系数</t>
    <phoneticPr fontId="23" type="noConversion"/>
  </si>
  <si>
    <t>农村公路</t>
    <phoneticPr fontId="23" type="noConversion"/>
  </si>
  <si>
    <t>乳源瑶族自治县</t>
  </si>
  <si>
    <t>附件2</t>
    <phoneticPr fontId="21" type="noConversion"/>
  </si>
  <si>
    <t>农村公路现场核查及支付率系数</t>
    <phoneticPr fontId="21" type="noConversion"/>
  </si>
  <si>
    <t>地级市</t>
    <phoneticPr fontId="21" type="noConversion"/>
  </si>
  <si>
    <t>县域</t>
    <phoneticPr fontId="21" type="noConversion"/>
  </si>
  <si>
    <r>
      <t>（A</t>
    </r>
    <r>
      <rPr>
        <b/>
        <vertAlign val="subscript"/>
        <sz val="9"/>
        <rFont val="仿宋_GB2312"/>
        <family val="3"/>
        <charset val="134"/>
      </rPr>
      <t>i</t>
    </r>
    <r>
      <rPr>
        <b/>
        <sz val="9"/>
        <rFont val="仿宋_GB2312"/>
        <family val="3"/>
        <charset val="134"/>
      </rPr>
      <t>+B</t>
    </r>
    <r>
      <rPr>
        <b/>
        <vertAlign val="subscript"/>
        <sz val="9"/>
        <rFont val="仿宋_GB2312"/>
        <family val="3"/>
        <charset val="134"/>
      </rPr>
      <t>i</t>
    </r>
    <r>
      <rPr>
        <b/>
        <sz val="9"/>
        <rFont val="仿宋_GB2312"/>
        <family val="3"/>
        <charset val="134"/>
      </rPr>
      <t>+2*C</t>
    </r>
    <r>
      <rPr>
        <b/>
        <vertAlign val="subscript"/>
        <sz val="9"/>
        <rFont val="仿宋_GB2312"/>
        <family val="3"/>
        <charset val="134"/>
      </rPr>
      <t>i</t>
    </r>
    <r>
      <rPr>
        <b/>
        <sz val="9"/>
        <rFont val="仿宋_GB2312"/>
        <family val="3"/>
        <charset val="134"/>
      </rPr>
      <t>)*K</t>
    </r>
    <r>
      <rPr>
        <b/>
        <vertAlign val="subscript"/>
        <sz val="9"/>
        <rFont val="仿宋_GB2312"/>
        <family val="3"/>
        <charset val="134"/>
      </rPr>
      <t>i</t>
    </r>
    <phoneticPr fontId="23" type="noConversion"/>
  </si>
  <si>
    <t>普通国省道</t>
  </si>
  <si>
    <t>普通国省道里程系数</t>
  </si>
  <si>
    <t>普通国省道现场核查及支付率系数</t>
  </si>
  <si>
    <t>（Ai+Bi+2*Ci)*Ki</t>
    <phoneticPr fontId="23" type="noConversion"/>
  </si>
  <si>
    <t xml:space="preserve">普通国省道      分配系数 </t>
    <phoneticPr fontId="21" type="noConversion"/>
  </si>
  <si>
    <t>1.5×普通国道里程+1.2×普通省道里程</t>
    <phoneticPr fontId="23" type="noConversion"/>
  </si>
  <si>
    <t>0.5×县道里程+0.1×乡村道里程</t>
    <phoneticPr fontId="23" type="noConversion"/>
  </si>
  <si>
    <t>普通国省道      灾损系数</t>
    <phoneticPr fontId="21" type="noConversion"/>
  </si>
  <si>
    <t>农村公路灾损系数</t>
    <phoneticPr fontId="23" type="noConversion"/>
  </si>
  <si>
    <r>
      <t>1.5×F</t>
    </r>
    <r>
      <rPr>
        <b/>
        <vertAlign val="subscript"/>
        <sz val="9"/>
        <rFont val="仿宋_GB2312"/>
        <family val="3"/>
        <charset val="134"/>
      </rPr>
      <t>1</t>
    </r>
    <r>
      <rPr>
        <b/>
        <sz val="9"/>
        <rFont val="仿宋_GB2312"/>
        <family val="3"/>
        <charset val="134"/>
      </rPr>
      <t>+1.2×F</t>
    </r>
    <r>
      <rPr>
        <b/>
        <vertAlign val="subscript"/>
        <sz val="9"/>
        <rFont val="仿宋_GB2312"/>
        <family val="3"/>
        <charset val="134"/>
      </rPr>
      <t>2</t>
    </r>
    <r>
      <rPr>
        <b/>
        <sz val="9"/>
        <rFont val="仿宋_GB2312"/>
        <family val="3"/>
        <charset val="134"/>
      </rPr>
      <t>+1.0×F</t>
    </r>
    <r>
      <rPr>
        <b/>
        <vertAlign val="subscript"/>
        <sz val="9"/>
        <rFont val="仿宋_GB2312"/>
        <family val="3"/>
        <charset val="134"/>
      </rPr>
      <t>3</t>
    </r>
    <phoneticPr fontId="21" type="noConversion"/>
  </si>
  <si>
    <t>汕头</t>
    <phoneticPr fontId="21" type="noConversion"/>
  </si>
  <si>
    <t>韶关</t>
    <phoneticPr fontId="21" type="noConversion"/>
  </si>
  <si>
    <t>河源</t>
    <phoneticPr fontId="21" type="noConversion"/>
  </si>
  <si>
    <t>梅州</t>
    <phoneticPr fontId="21" type="noConversion"/>
  </si>
  <si>
    <t>惠州</t>
    <phoneticPr fontId="21" type="noConversion"/>
  </si>
  <si>
    <t>汕尾</t>
    <phoneticPr fontId="21" type="noConversion"/>
  </si>
  <si>
    <t>江门</t>
    <phoneticPr fontId="21" type="noConversion"/>
  </si>
  <si>
    <t>阳江</t>
    <phoneticPr fontId="21" type="noConversion"/>
  </si>
  <si>
    <t>湛江</t>
    <phoneticPr fontId="21" type="noConversion"/>
  </si>
  <si>
    <t>茂名</t>
    <phoneticPr fontId="21" type="noConversion"/>
  </si>
  <si>
    <t>肇庆</t>
    <phoneticPr fontId="21" type="noConversion"/>
  </si>
  <si>
    <t>清远</t>
    <phoneticPr fontId="21" type="noConversion"/>
  </si>
  <si>
    <t>潮州</t>
    <phoneticPr fontId="21" type="noConversion"/>
  </si>
  <si>
    <t>揭阳</t>
    <phoneticPr fontId="21" type="noConversion"/>
  </si>
  <si>
    <t>云浮</t>
    <phoneticPr fontId="21" type="noConversion"/>
  </si>
  <si>
    <t>普通国道（km)</t>
    <phoneticPr fontId="21" type="noConversion"/>
  </si>
  <si>
    <t>普通省道（km)</t>
    <phoneticPr fontId="20" type="noConversion"/>
  </si>
  <si>
    <t>县道（km)</t>
    <phoneticPr fontId="20" type="noConversion"/>
  </si>
  <si>
    <t>乡道（km)</t>
    <phoneticPr fontId="21" type="noConversion"/>
  </si>
  <si>
    <t>村道（km)</t>
    <phoneticPr fontId="21" type="noConversion"/>
  </si>
  <si>
    <t>上报损失（万元）</t>
    <phoneticPr fontId="23" type="noConversion"/>
  </si>
  <si>
    <t>建议分配金额合计（万元）</t>
    <phoneticPr fontId="21" type="noConversion"/>
  </si>
  <si>
    <t>分配金额（万元）</t>
    <phoneticPr fontId="23" type="noConversion"/>
  </si>
  <si>
    <t>计算结果（万元）</t>
    <phoneticPr fontId="23" type="noConversion"/>
  </si>
  <si>
    <t>2023年第一批全省普通公路灾毁修复计划资金因素法分配建议表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</si>
</sst>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;[Red]0.00"/>
    <numFmt numFmtId="177" formatCode="0.0;[Red]0.0"/>
    <numFmt numFmtId="178" formatCode="0;[Red]0"/>
    <numFmt numFmtId="179" formatCode="0.00_ "/>
    <numFmt numFmtId="180" formatCode="0.0000_);[Red]\(0.0000\)"/>
    <numFmt numFmtId="181" formatCode="0.0000;[Red]0.0000"/>
    <numFmt numFmtId="182" formatCode="0_);[Red]\(0\)"/>
    <numFmt numFmtId="183" formatCode="0_ "/>
    <numFmt numFmtId="184" formatCode="0.00_);[Red]\(0.00\)"/>
    <numFmt numFmtId="185" formatCode="0.0_);[Red]\(0.0\)"/>
  </numFmts>
  <fonts count="36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9"/>
      <name val="仿宋_GB2312"/>
      <family val="3"/>
      <charset val="134"/>
    </font>
    <font>
      <b/>
      <sz val="9"/>
      <name val="仿宋_GB2312"/>
      <family val="3"/>
      <charset val="134"/>
    </font>
    <font>
      <sz val="9"/>
      <color rgb="FFC00000"/>
      <name val="仿宋_GB2312"/>
      <family val="3"/>
      <charset val="134"/>
    </font>
    <font>
      <sz val="9"/>
      <color theme="1"/>
      <name val="仿宋_GB2312"/>
      <family val="3"/>
      <charset val="134"/>
    </font>
    <font>
      <b/>
      <sz val="9"/>
      <color rgb="FFFF0000"/>
      <name val="仿宋_GB2312"/>
      <family val="3"/>
      <charset val="134"/>
    </font>
    <font>
      <b/>
      <sz val="10"/>
      <name val="宋体"/>
      <family val="3"/>
      <charset val="134"/>
    </font>
    <font>
      <b/>
      <vertAlign val="subscript"/>
      <sz val="9"/>
      <name val="仿宋_GB2312"/>
      <family val="3"/>
      <charset val="134"/>
    </font>
    <font>
      <b/>
      <sz val="12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6"/>
      <name val="方正小标宋简体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</cellStyleXfs>
  <cellXfs count="82">
    <xf numFmtId="0" fontId="0" fillId="0" borderId="0" xfId="0"/>
    <xf numFmtId="0" fontId="0" fillId="33" borderId="0" xfId="0" applyFill="1"/>
    <xf numFmtId="0" fontId="22" fillId="33" borderId="0" xfId="0" applyFont="1" applyFill="1"/>
    <xf numFmtId="0" fontId="20" fillId="33" borderId="0" xfId="0" applyFont="1" applyFill="1" applyAlignment="1">
      <alignment wrapText="1"/>
    </xf>
    <xf numFmtId="0" fontId="20" fillId="33" borderId="0" xfId="0" applyFont="1" applyFill="1"/>
    <xf numFmtId="178" fontId="24" fillId="0" borderId="0" xfId="0" applyNumberFormat="1" applyFont="1" applyFill="1" applyAlignment="1">
      <alignment vertical="center"/>
    </xf>
    <xf numFmtId="176" fontId="25" fillId="0" borderId="0" xfId="0" applyNumberFormat="1" applyFont="1" applyFill="1" applyAlignment="1">
      <alignment vertical="center"/>
    </xf>
    <xf numFmtId="0" fontId="22" fillId="0" borderId="0" xfId="0" applyFont="1" applyFill="1"/>
    <xf numFmtId="184" fontId="22" fillId="33" borderId="0" xfId="0" applyNumberFormat="1" applyFont="1" applyFill="1"/>
    <xf numFmtId="177" fontId="20" fillId="33" borderId="0" xfId="0" applyNumberFormat="1" applyFont="1" applyFill="1"/>
    <xf numFmtId="180" fontId="27" fillId="0" borderId="10" xfId="0" applyNumberFormat="1" applyFont="1" applyFill="1" applyBorder="1" applyAlignment="1">
      <alignment horizontal="center" vertical="center" wrapText="1"/>
    </xf>
    <xf numFmtId="180" fontId="27" fillId="0" borderId="10" xfId="0" applyNumberFormat="1" applyFont="1" applyBorder="1" applyAlignment="1">
      <alignment horizontal="center" vertical="center" wrapText="1"/>
    </xf>
    <xf numFmtId="180" fontId="26" fillId="0" borderId="10" xfId="0" applyNumberFormat="1" applyFont="1" applyBorder="1" applyAlignment="1">
      <alignment horizontal="center" vertical="center" wrapText="1"/>
    </xf>
    <xf numFmtId="180" fontId="27" fillId="33" borderId="10" xfId="0" applyNumberFormat="1" applyFont="1" applyFill="1" applyBorder="1" applyAlignment="1">
      <alignment horizontal="center" vertical="center" wrapText="1"/>
    </xf>
    <xf numFmtId="180" fontId="26" fillId="0" borderId="10" xfId="0" applyNumberFormat="1" applyFont="1" applyFill="1" applyBorder="1" applyAlignment="1">
      <alignment horizontal="center" vertical="center" wrapText="1"/>
    </xf>
    <xf numFmtId="178" fontId="29" fillId="0" borderId="10" xfId="0" applyNumberFormat="1" applyFont="1" applyFill="1" applyBorder="1" applyAlignment="1">
      <alignment horizontal="center" vertical="center"/>
    </xf>
    <xf numFmtId="181" fontId="29" fillId="0" borderId="10" xfId="0" applyNumberFormat="1" applyFont="1" applyFill="1" applyBorder="1" applyAlignment="1">
      <alignment horizontal="center" vertical="center"/>
    </xf>
    <xf numFmtId="0" fontId="26" fillId="0" borderId="10" xfId="0" applyNumberFormat="1" applyFont="1" applyFill="1" applyBorder="1" applyAlignment="1">
      <alignment horizontal="center" vertical="center"/>
    </xf>
    <xf numFmtId="184" fontId="26" fillId="33" borderId="10" xfId="0" applyNumberFormat="1" applyFont="1" applyFill="1" applyBorder="1" applyAlignment="1">
      <alignment horizontal="center" vertical="center"/>
    </xf>
    <xf numFmtId="182" fontId="26" fillId="33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183" fontId="26" fillId="33" borderId="10" xfId="0" applyNumberFormat="1" applyFont="1" applyFill="1" applyBorder="1" applyAlignment="1">
      <alignment horizontal="center" vertical="center"/>
    </xf>
    <xf numFmtId="178" fontId="29" fillId="0" borderId="11" xfId="0" applyNumberFormat="1" applyFont="1" applyFill="1" applyBorder="1" applyAlignment="1">
      <alignment horizontal="center" vertical="center"/>
    </xf>
    <xf numFmtId="181" fontId="29" fillId="0" borderId="11" xfId="0" applyNumberFormat="1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1" xfId="0" applyNumberFormat="1" applyFont="1" applyFill="1" applyBorder="1" applyAlignment="1">
      <alignment horizontal="center" vertical="center"/>
    </xf>
    <xf numFmtId="184" fontId="26" fillId="33" borderId="11" xfId="0" applyNumberFormat="1" applyFont="1" applyFill="1" applyBorder="1" applyAlignment="1">
      <alignment horizontal="center" vertical="center"/>
    </xf>
    <xf numFmtId="182" fontId="26" fillId="33" borderId="11" xfId="0" applyNumberFormat="1" applyFont="1" applyFill="1" applyBorder="1" applyAlignment="1">
      <alignment horizontal="center" vertical="center"/>
    </xf>
    <xf numFmtId="177" fontId="26" fillId="33" borderId="10" xfId="0" applyNumberFormat="1" applyFont="1" applyFill="1" applyBorder="1" applyAlignment="1">
      <alignment horizontal="center" vertical="center"/>
    </xf>
    <xf numFmtId="177" fontId="26" fillId="33" borderId="16" xfId="0" applyNumberFormat="1" applyFont="1" applyFill="1" applyBorder="1" applyAlignment="1">
      <alignment horizontal="center" vertical="center"/>
    </xf>
    <xf numFmtId="181" fontId="26" fillId="0" borderId="10" xfId="0" applyNumberFormat="1" applyFont="1" applyBorder="1" applyAlignment="1">
      <alignment horizontal="center" vertical="center" wrapText="1"/>
    </xf>
    <xf numFmtId="180" fontId="26" fillId="33" borderId="10" xfId="0" applyNumberFormat="1" applyFont="1" applyFill="1" applyBorder="1" applyAlignment="1">
      <alignment horizontal="center" vertical="center" wrapText="1"/>
    </xf>
    <xf numFmtId="177" fontId="28" fillId="33" borderId="10" xfId="0" applyNumberFormat="1" applyFont="1" applyFill="1" applyBorder="1" applyAlignment="1">
      <alignment horizontal="center" vertical="center"/>
    </xf>
    <xf numFmtId="177" fontId="28" fillId="33" borderId="16" xfId="0" applyNumberFormat="1" applyFont="1" applyFill="1" applyBorder="1" applyAlignment="1">
      <alignment horizontal="center" vertical="center"/>
    </xf>
    <xf numFmtId="0" fontId="26" fillId="33" borderId="10" xfId="0" applyNumberFormat="1" applyFont="1" applyFill="1" applyBorder="1" applyAlignment="1">
      <alignment horizontal="center" vertical="center"/>
    </xf>
    <xf numFmtId="0" fontId="26" fillId="33" borderId="11" xfId="0" applyNumberFormat="1" applyFont="1" applyFill="1" applyBorder="1" applyAlignment="1">
      <alignment horizontal="center" vertical="center"/>
    </xf>
    <xf numFmtId="177" fontId="26" fillId="33" borderId="11" xfId="0" applyNumberFormat="1" applyFont="1" applyFill="1" applyBorder="1" applyAlignment="1">
      <alignment horizontal="center" vertical="center"/>
    </xf>
    <xf numFmtId="177" fontId="26" fillId="33" borderId="18" xfId="0" applyNumberFormat="1" applyFont="1" applyFill="1" applyBorder="1" applyAlignment="1">
      <alignment horizontal="center" vertical="center"/>
    </xf>
    <xf numFmtId="49" fontId="27" fillId="33" borderId="12" xfId="0" applyNumberFormat="1" applyFont="1" applyFill="1" applyBorder="1" applyAlignment="1">
      <alignment horizontal="center" vertical="center" wrapText="1"/>
    </xf>
    <xf numFmtId="49" fontId="27" fillId="0" borderId="13" xfId="0" applyNumberFormat="1" applyFont="1" applyFill="1" applyBorder="1" applyAlignment="1">
      <alignment horizontal="center" vertical="center" wrapText="1"/>
    </xf>
    <xf numFmtId="177" fontId="27" fillId="33" borderId="13" xfId="0" applyNumberFormat="1" applyFont="1" applyFill="1" applyBorder="1" applyAlignment="1">
      <alignment horizontal="center" vertical="center" wrapText="1"/>
    </xf>
    <xf numFmtId="49" fontId="27" fillId="33" borderId="15" xfId="0" applyNumberFormat="1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179" fontId="27" fillId="0" borderId="10" xfId="0" applyNumberFormat="1" applyFont="1" applyBorder="1" applyAlignment="1">
      <alignment horizontal="center" vertical="center" wrapText="1"/>
    </xf>
    <xf numFmtId="178" fontId="27" fillId="0" borderId="10" xfId="0" applyNumberFormat="1" applyFont="1" applyFill="1" applyBorder="1" applyAlignment="1">
      <alignment horizontal="center" vertical="center" wrapText="1"/>
    </xf>
    <xf numFmtId="178" fontId="27" fillId="0" borderId="10" xfId="0" applyNumberFormat="1" applyFont="1" applyBorder="1" applyAlignment="1">
      <alignment horizontal="center" vertical="center" wrapText="1"/>
    </xf>
    <xf numFmtId="0" fontId="27" fillId="33" borderId="10" xfId="0" applyFont="1" applyFill="1" applyBorder="1" applyAlignment="1">
      <alignment horizontal="center" vertical="center" wrapText="1"/>
    </xf>
    <xf numFmtId="177" fontId="27" fillId="33" borderId="10" xfId="0" applyNumberFormat="1" applyFont="1" applyFill="1" applyBorder="1" applyAlignment="1">
      <alignment horizontal="center" vertical="center"/>
    </xf>
    <xf numFmtId="49" fontId="27" fillId="33" borderId="15" xfId="0" applyNumberFormat="1" applyFont="1" applyFill="1" applyBorder="1" applyAlignment="1">
      <alignment horizontal="center" vertical="center"/>
    </xf>
    <xf numFmtId="49" fontId="30" fillId="0" borderId="10" xfId="0" applyNumberFormat="1" applyFont="1" applyFill="1" applyBorder="1" applyAlignment="1">
      <alignment horizontal="center" vertical="center"/>
    </xf>
    <xf numFmtId="49" fontId="27" fillId="33" borderId="17" xfId="0" applyNumberFormat="1" applyFont="1" applyFill="1" applyBorder="1" applyAlignment="1">
      <alignment horizontal="center" vertical="center"/>
    </xf>
    <xf numFmtId="49" fontId="27" fillId="0" borderId="11" xfId="0" applyNumberFormat="1" applyFont="1" applyFill="1" applyBorder="1" applyAlignment="1">
      <alignment horizontal="center" vertical="center"/>
    </xf>
    <xf numFmtId="0" fontId="31" fillId="33" borderId="0" xfId="0" applyFont="1" applyFill="1"/>
    <xf numFmtId="0" fontId="31" fillId="0" borderId="0" xfId="0" applyFont="1" applyFill="1"/>
    <xf numFmtId="182" fontId="29" fillId="34" borderId="10" xfId="0" applyNumberFormat="1" applyFont="1" applyFill="1" applyBorder="1" applyAlignment="1">
      <alignment horizontal="center" vertical="center"/>
    </xf>
    <xf numFmtId="182" fontId="29" fillId="0" borderId="10" xfId="0" applyNumberFormat="1" applyFont="1" applyBorder="1" applyAlignment="1">
      <alignment horizontal="center" vertical="center"/>
    </xf>
    <xf numFmtId="185" fontId="29" fillId="34" borderId="10" xfId="0" applyNumberFormat="1" applyFont="1" applyFill="1" applyBorder="1" applyAlignment="1">
      <alignment horizontal="center" vertical="center"/>
    </xf>
    <xf numFmtId="185" fontId="29" fillId="0" borderId="10" xfId="0" applyNumberFormat="1" applyFont="1" applyBorder="1" applyAlignment="1">
      <alignment horizontal="center" vertical="center"/>
    </xf>
    <xf numFmtId="182" fontId="29" fillId="0" borderId="11" xfId="0" applyNumberFormat="1" applyFont="1" applyBorder="1" applyAlignment="1">
      <alignment horizontal="center" vertical="center"/>
    </xf>
    <xf numFmtId="178" fontId="29" fillId="34" borderId="10" xfId="0" applyNumberFormat="1" applyFont="1" applyFill="1" applyBorder="1" applyAlignment="1">
      <alignment horizontal="center" vertical="center"/>
    </xf>
    <xf numFmtId="0" fontId="31" fillId="34" borderId="0" xfId="0" applyFont="1" applyFill="1"/>
    <xf numFmtId="0" fontId="27" fillId="34" borderId="15" xfId="0" applyNumberFormat="1" applyFont="1" applyFill="1" applyBorder="1" applyAlignment="1">
      <alignment horizontal="center" vertical="center"/>
    </xf>
    <xf numFmtId="49" fontId="27" fillId="34" borderId="10" xfId="0" applyNumberFormat="1" applyFont="1" applyFill="1" applyBorder="1" applyAlignment="1">
      <alignment horizontal="center" vertical="center"/>
    </xf>
    <xf numFmtId="177" fontId="27" fillId="33" borderId="14" xfId="0" applyNumberFormat="1" applyFont="1" applyFill="1" applyBorder="1" applyAlignment="1">
      <alignment horizontal="center" vertical="center" wrapText="1"/>
    </xf>
    <xf numFmtId="177" fontId="27" fillId="33" borderId="16" xfId="0" applyNumberFormat="1" applyFont="1" applyFill="1" applyBorder="1" applyAlignment="1">
      <alignment horizontal="center" vertical="center"/>
    </xf>
    <xf numFmtId="178" fontId="29" fillId="34" borderId="1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177" fontId="27" fillId="34" borderId="10" xfId="0" applyNumberFormat="1" applyFont="1" applyFill="1" applyBorder="1" applyAlignment="1">
      <alignment horizontal="center" vertical="center" wrapText="1"/>
    </xf>
    <xf numFmtId="177" fontId="27" fillId="0" borderId="10" xfId="0" applyNumberFormat="1" applyFont="1" applyBorder="1" applyAlignment="1">
      <alignment horizontal="center" vertical="center" wrapText="1"/>
    </xf>
    <xf numFmtId="0" fontId="27" fillId="33" borderId="10" xfId="0" applyNumberFormat="1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/>
    </xf>
    <xf numFmtId="49" fontId="27" fillId="0" borderId="15" xfId="0" applyNumberFormat="1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center" vertical="center"/>
    </xf>
    <xf numFmtId="49" fontId="27" fillId="34" borderId="13" xfId="0" applyNumberFormat="1" applyFont="1" applyFill="1" applyBorder="1" applyAlignment="1">
      <alignment horizontal="center" vertical="center" wrapText="1"/>
    </xf>
    <xf numFmtId="49" fontId="27" fillId="34" borderId="10" xfId="0" applyNumberFormat="1" applyFont="1" applyFill="1" applyBorder="1" applyAlignment="1">
      <alignment horizontal="center" vertical="center" wrapText="1"/>
    </xf>
    <xf numFmtId="179" fontId="27" fillId="0" borderId="13" xfId="0" applyNumberFormat="1" applyFont="1" applyBorder="1" applyAlignment="1">
      <alignment horizontal="center" vertical="center" wrapText="1"/>
    </xf>
    <xf numFmtId="180" fontId="27" fillId="0" borderId="13" xfId="0" applyNumberFormat="1" applyFont="1" applyBorder="1" applyAlignment="1">
      <alignment horizontal="center" vertical="center" wrapText="1"/>
    </xf>
    <xf numFmtId="0" fontId="27" fillId="33" borderId="13" xfId="0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5" fillId="33" borderId="19" xfId="0" applyFont="1" applyFill="1" applyBorder="1" applyAlignment="1">
      <alignment horizontal="center" vertical="center" wrapText="1"/>
    </xf>
  </cellXfs>
  <cellStyles count="45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 customBuiltin="1"/>
    <cellStyle name="常规 10" xfId="42"/>
    <cellStyle name="常规 11" xfId="43"/>
    <cellStyle name="常规 2" xfId="44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0"/>
  <sheetViews>
    <sheetView tabSelected="1" zoomScale="130" zoomScaleNormal="130" workbookViewId="0">
      <pane xSplit="3" ySplit="4" topLeftCell="O5" activePane="bottomRight" state="frozen"/>
      <selection pane="topRight" activeCell="D1" sqref="D1"/>
      <selection pane="bottomLeft" activeCell="A4" sqref="A4"/>
      <selection pane="bottomRight" activeCell="A2" sqref="A2:AC2"/>
    </sheetView>
  </sheetViews>
  <sheetFormatPr defaultColWidth="8.75" defaultRowHeight="15.6" customHeight="1" x14ac:dyDescent="0.15"/>
  <cols>
    <col min="1" max="1" width="4.375" style="52" customWidth="1"/>
    <col min="2" max="2" width="6.25" style="53" customWidth="1"/>
    <col min="3" max="3" width="14.875" style="53" customWidth="1"/>
    <col min="4" max="4" width="7.375" style="60" customWidth="1"/>
    <col min="5" max="5" width="9.5" style="5" customWidth="1"/>
    <col min="6" max="6" width="8.75" style="5" customWidth="1"/>
    <col min="7" max="7" width="7.75" style="5" customWidth="1"/>
    <col min="8" max="8" width="8.625" style="5" customWidth="1"/>
    <col min="9" max="9" width="8.125" style="6" customWidth="1"/>
    <col min="10" max="10" width="6.875" style="6" customWidth="1"/>
    <col min="11" max="11" width="8.375" style="6" customWidth="1"/>
    <col min="12" max="12" width="6.5" style="6" customWidth="1"/>
    <col min="13" max="13" width="8.75" style="7" customWidth="1"/>
    <col min="14" max="14" width="9.25" style="7" customWidth="1"/>
    <col min="15" max="15" width="11.375" style="7" customWidth="1"/>
    <col min="16" max="16" width="7.75" style="7" customWidth="1"/>
    <col min="17" max="17" width="10.25" style="7" customWidth="1"/>
    <col min="18" max="18" width="10.125" style="7" customWidth="1"/>
    <col min="19" max="19" width="9.625" style="7" customWidth="1"/>
    <col min="20" max="20" width="9.25" style="2" customWidth="1"/>
    <col min="21" max="21" width="8.875" style="2" customWidth="1"/>
    <col min="22" max="22" width="12.125" style="2" customWidth="1"/>
    <col min="23" max="23" width="9.375" style="2" customWidth="1"/>
    <col min="24" max="24" width="5.875" style="2" customWidth="1"/>
    <col min="25" max="25" width="8.375" style="8" customWidth="1"/>
    <col min="26" max="26" width="7.875" style="2" customWidth="1"/>
    <col min="27" max="27" width="9.5" style="2" customWidth="1"/>
    <col min="28" max="28" width="14" style="9" customWidth="1"/>
    <col min="29" max="29" width="12.875" style="9" customWidth="1"/>
    <col min="30" max="16384" width="8.75" style="1"/>
  </cols>
  <sheetData>
    <row r="1" spans="1:29" ht="24.95" customHeight="1" x14ac:dyDescent="0.15">
      <c r="A1" s="80" t="s">
        <v>41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29" ht="35.1" customHeight="1" thickBot="1" x14ac:dyDescent="0.2">
      <c r="A2" s="81" t="s">
        <v>80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</row>
    <row r="3" spans="1:29" s="3" customFormat="1" ht="35.1" customHeight="1" x14ac:dyDescent="0.15">
      <c r="A3" s="38" t="s">
        <v>27</v>
      </c>
      <c r="B3" s="39" t="s">
        <v>43</v>
      </c>
      <c r="C3" s="39" t="s">
        <v>44</v>
      </c>
      <c r="D3" s="73" t="s">
        <v>77</v>
      </c>
      <c r="E3" s="75" t="s">
        <v>46</v>
      </c>
      <c r="F3" s="75"/>
      <c r="G3" s="75" t="s">
        <v>39</v>
      </c>
      <c r="H3" s="75"/>
      <c r="I3" s="76" t="s">
        <v>50</v>
      </c>
      <c r="J3" s="76"/>
      <c r="K3" s="76" t="s">
        <v>38</v>
      </c>
      <c r="L3" s="76"/>
      <c r="M3" s="79" t="s">
        <v>47</v>
      </c>
      <c r="N3" s="79"/>
      <c r="O3" s="79"/>
      <c r="P3" s="79"/>
      <c r="Q3" s="78" t="s">
        <v>36</v>
      </c>
      <c r="R3" s="78"/>
      <c r="S3" s="78"/>
      <c r="T3" s="78"/>
      <c r="U3" s="78"/>
      <c r="V3" s="76" t="s">
        <v>35</v>
      </c>
      <c r="W3" s="76"/>
      <c r="X3" s="78" t="s">
        <v>53</v>
      </c>
      <c r="Y3" s="78"/>
      <c r="Z3" s="77" t="s">
        <v>54</v>
      </c>
      <c r="AA3" s="77"/>
      <c r="AB3" s="40" t="s">
        <v>48</v>
      </c>
      <c r="AC3" s="63" t="s">
        <v>42</v>
      </c>
    </row>
    <row r="4" spans="1:29" s="4" customFormat="1" ht="45" customHeight="1" x14ac:dyDescent="0.15">
      <c r="A4" s="41"/>
      <c r="B4" s="42"/>
      <c r="C4" s="42"/>
      <c r="D4" s="74"/>
      <c r="E4" s="43" t="s">
        <v>78</v>
      </c>
      <c r="F4" s="43" t="s">
        <v>79</v>
      </c>
      <c r="G4" s="43" t="s">
        <v>78</v>
      </c>
      <c r="H4" s="43" t="s">
        <v>79</v>
      </c>
      <c r="I4" s="11" t="s">
        <v>45</v>
      </c>
      <c r="J4" s="11" t="s">
        <v>30</v>
      </c>
      <c r="K4" s="11" t="s">
        <v>49</v>
      </c>
      <c r="L4" s="11" t="s">
        <v>30</v>
      </c>
      <c r="M4" s="42" t="s">
        <v>71</v>
      </c>
      <c r="N4" s="42" t="s">
        <v>72</v>
      </c>
      <c r="O4" s="44" t="s">
        <v>51</v>
      </c>
      <c r="P4" s="10" t="s">
        <v>32</v>
      </c>
      <c r="Q4" s="70" t="s">
        <v>73</v>
      </c>
      <c r="R4" s="42" t="s">
        <v>74</v>
      </c>
      <c r="S4" s="42" t="s">
        <v>75</v>
      </c>
      <c r="T4" s="45" t="s">
        <v>52</v>
      </c>
      <c r="U4" s="11" t="s">
        <v>32</v>
      </c>
      <c r="V4" s="11" t="s">
        <v>55</v>
      </c>
      <c r="W4" s="11" t="s">
        <v>33</v>
      </c>
      <c r="X4" s="11" t="s">
        <v>31</v>
      </c>
      <c r="Y4" s="46" t="s">
        <v>76</v>
      </c>
      <c r="Z4" s="13" t="s">
        <v>31</v>
      </c>
      <c r="AA4" s="46" t="s">
        <v>76</v>
      </c>
      <c r="AB4" s="47" t="s">
        <v>34</v>
      </c>
      <c r="AC4" s="64" t="s">
        <v>34</v>
      </c>
    </row>
    <row r="5" spans="1:29" ht="24.95" customHeight="1" x14ac:dyDescent="0.15">
      <c r="A5" s="71" t="s">
        <v>37</v>
      </c>
      <c r="B5" s="72"/>
      <c r="C5" s="72"/>
      <c r="D5" s="67">
        <f>SUM(D6,D9,D14,D18,D24,D27,D31,D32,D35,D40,D44,D49,D52,D54,D57)</f>
        <v>4907.8</v>
      </c>
      <c r="E5" s="68">
        <f>SUM(E6,E9,E14,E18,E24,E27,E31,E32,E35,E40,E44,E49,E52,E54,E57)</f>
        <v>2607.8000000000002</v>
      </c>
      <c r="F5" s="45">
        <f>SUM(F6:F60)</f>
        <v>2608</v>
      </c>
      <c r="G5" s="45">
        <f>SUM(G6,G9,G14,G18,G24,G27,G31,G32,G35,G40,G44,G49,G52,G54,G57)</f>
        <v>2300</v>
      </c>
      <c r="H5" s="45">
        <f t="shared" ref="H5:AA5" si="0">SUM(H6:H60)</f>
        <v>2300.0000000000009</v>
      </c>
      <c r="I5" s="30">
        <f t="shared" si="0"/>
        <v>3.0826776107081391</v>
      </c>
      <c r="J5" s="30">
        <f t="shared" si="0"/>
        <v>0.99999999999999978</v>
      </c>
      <c r="K5" s="30">
        <f t="shared" si="0"/>
        <v>3.8507362760555921</v>
      </c>
      <c r="L5" s="30">
        <f t="shared" si="0"/>
        <v>1</v>
      </c>
      <c r="M5" s="14">
        <f t="shared" si="0"/>
        <v>7223.6959999999999</v>
      </c>
      <c r="N5" s="14">
        <f t="shared" si="0"/>
        <v>15271.193999999996</v>
      </c>
      <c r="O5" s="14">
        <f t="shared" si="0"/>
        <v>29160.976799999997</v>
      </c>
      <c r="P5" s="14">
        <f t="shared" si="0"/>
        <v>0.99999999999999989</v>
      </c>
      <c r="Q5" s="14">
        <f t="shared" si="0"/>
        <v>22935.885000000006</v>
      </c>
      <c r="R5" s="14">
        <f t="shared" si="0"/>
        <v>55126.583000000006</v>
      </c>
      <c r="S5" s="14">
        <f t="shared" si="0"/>
        <v>72288.741999999984</v>
      </c>
      <c r="T5" s="12">
        <f t="shared" si="0"/>
        <v>24209.475000000006</v>
      </c>
      <c r="U5" s="12">
        <f t="shared" si="0"/>
        <v>0.99999999999999967</v>
      </c>
      <c r="V5" s="12">
        <f t="shared" si="0"/>
        <v>65886.051049999995</v>
      </c>
      <c r="W5" s="12">
        <f t="shared" si="0"/>
        <v>0.99999999999999967</v>
      </c>
      <c r="X5" s="12">
        <f t="shared" si="0"/>
        <v>1</v>
      </c>
      <c r="Y5" s="69">
        <f t="shared" si="0"/>
        <v>33689.14</v>
      </c>
      <c r="Z5" s="31">
        <v>1</v>
      </c>
      <c r="AA5" s="69">
        <f t="shared" si="0"/>
        <v>36383.51999999999</v>
      </c>
      <c r="AB5" s="32"/>
      <c r="AC5" s="33"/>
    </row>
    <row r="6" spans="1:29" ht="20.100000000000001" customHeight="1" x14ac:dyDescent="0.15">
      <c r="A6" s="61">
        <v>1</v>
      </c>
      <c r="B6" s="62" t="s">
        <v>56</v>
      </c>
      <c r="C6" s="62"/>
      <c r="D6" s="59">
        <f>SUM(E6,G6)</f>
        <v>50</v>
      </c>
      <c r="E6" s="54">
        <f>SUM(E7:E8)</f>
        <v>40</v>
      </c>
      <c r="F6" s="15"/>
      <c r="G6" s="54">
        <f>SUM(G7:G8)</f>
        <v>10</v>
      </c>
      <c r="H6" s="15"/>
      <c r="I6" s="16"/>
      <c r="J6" s="16"/>
      <c r="K6" s="16"/>
      <c r="L6" s="16"/>
      <c r="M6" s="17"/>
      <c r="N6" s="17"/>
      <c r="O6" s="17"/>
      <c r="P6" s="17"/>
      <c r="Q6" s="17"/>
      <c r="R6" s="17"/>
      <c r="S6" s="17"/>
      <c r="T6" s="34"/>
      <c r="U6" s="34"/>
      <c r="V6" s="34"/>
      <c r="W6" s="34"/>
      <c r="X6" s="34"/>
      <c r="Y6" s="18"/>
      <c r="Z6" s="34"/>
      <c r="AA6" s="19"/>
      <c r="AB6" s="28"/>
      <c r="AC6" s="29"/>
    </row>
    <row r="7" spans="1:29" ht="20.100000000000001" customHeight="1" x14ac:dyDescent="0.15">
      <c r="A7" s="48"/>
      <c r="B7" s="70"/>
      <c r="C7" s="70" t="s">
        <v>29</v>
      </c>
      <c r="D7" s="59">
        <f t="shared" ref="D7:D60" si="1">SUM(E7,G7)</f>
        <v>30</v>
      </c>
      <c r="E7" s="55">
        <v>20</v>
      </c>
      <c r="F7" s="15">
        <f>J7*2608</f>
        <v>16.813204713730411</v>
      </c>
      <c r="G7" s="55">
        <v>10</v>
      </c>
      <c r="H7" s="15">
        <f>L7*2300</f>
        <v>10.675665013091235</v>
      </c>
      <c r="I7" s="16">
        <f>(P7+W7+2*X7)*AB7</f>
        <v>1.9873347291130859E-2</v>
      </c>
      <c r="J7" s="16">
        <f>I7/$I$5</f>
        <v>6.4467809485162612E-3</v>
      </c>
      <c r="K7" s="16">
        <f>(U7+W7+2*Z7)*AC7</f>
        <v>1.7873552407359963E-2</v>
      </c>
      <c r="L7" s="16">
        <f>K7/$K$5</f>
        <v>4.6415934839527107E-3</v>
      </c>
      <c r="M7" s="17">
        <v>155.97399999999999</v>
      </c>
      <c r="N7" s="17">
        <v>328.39699999999999</v>
      </c>
      <c r="O7" s="17">
        <f>M7*1.5+N7*1.2</f>
        <v>628.03739999999993</v>
      </c>
      <c r="P7" s="17">
        <f>SUM(O7)/$O$5</f>
        <v>2.1536912302608464E-2</v>
      </c>
      <c r="Q7" s="17">
        <v>439.78099999999995</v>
      </c>
      <c r="R7" s="17">
        <v>701.01900000000001</v>
      </c>
      <c r="S7" s="17">
        <v>1992.6479999999999</v>
      </c>
      <c r="T7" s="34">
        <f>Q7*0.5+(R7+S7)*0.1</f>
        <v>489.25719999999995</v>
      </c>
      <c r="U7" s="34">
        <f>SUM(T7)/$T$5</f>
        <v>2.0209327133281486E-2</v>
      </c>
      <c r="V7" s="34">
        <f>(O7+T7)*1.2</f>
        <v>1340.75352</v>
      </c>
      <c r="W7" s="34">
        <f>SUM(V7)/$V$5</f>
        <v>2.0349580808576934E-2</v>
      </c>
      <c r="X7" s="34">
        <f>Y7/$Y$5</f>
        <v>1.2178998929625394E-2</v>
      </c>
      <c r="Y7" s="34">
        <v>410.3</v>
      </c>
      <c r="Z7" s="34">
        <f>AA7/$AA$5</f>
        <v>9.5098000413373993E-3</v>
      </c>
      <c r="AA7" s="19">
        <v>346</v>
      </c>
      <c r="AB7" s="28">
        <v>0.3</v>
      </c>
      <c r="AC7" s="29">
        <v>0.3</v>
      </c>
    </row>
    <row r="8" spans="1:29" ht="20.100000000000001" customHeight="1" x14ac:dyDescent="0.15">
      <c r="A8" s="48"/>
      <c r="B8" s="70"/>
      <c r="C8" s="70" t="s">
        <v>2</v>
      </c>
      <c r="D8" s="59">
        <f t="shared" si="1"/>
        <v>20</v>
      </c>
      <c r="E8" s="55">
        <v>20</v>
      </c>
      <c r="F8" s="15">
        <f t="shared" ref="F8:F60" si="2">J8*2608</f>
        <v>17.711614049767526</v>
      </c>
      <c r="G8" s="55">
        <v>0</v>
      </c>
      <c r="H8" s="15">
        <f t="shared" ref="H8:H59" si="3">L8*2300</f>
        <v>0</v>
      </c>
      <c r="I8" s="16">
        <f t="shared" ref="I8:I59" si="4">(P8+W8+2*X8)*AB8</f>
        <v>2.0935274570829013E-2</v>
      </c>
      <c r="J8" s="16">
        <f t="shared" ref="J8:J59" si="5">I8/$I$5</f>
        <v>6.7912630558924561E-3</v>
      </c>
      <c r="K8" s="16">
        <f t="shared" ref="K8:K60" si="6">(U8+W8+2*Z8)*AC8</f>
        <v>0</v>
      </c>
      <c r="L8" s="16">
        <f t="shared" ref="L8:L60" si="7">K8/$K$5</f>
        <v>0</v>
      </c>
      <c r="M8" s="20">
        <v>36.479999999999997</v>
      </c>
      <c r="N8" s="20">
        <v>62.656999999999996</v>
      </c>
      <c r="O8" s="17">
        <f>M8*1.5+N8*1.2</f>
        <v>129.90839999999997</v>
      </c>
      <c r="P8" s="17">
        <f>SUM(O8)/$O$5</f>
        <v>4.4548713471079604E-3</v>
      </c>
      <c r="Q8" s="20">
        <v>12.582000000000001</v>
      </c>
      <c r="R8" s="17">
        <v>42.133000000000003</v>
      </c>
      <c r="S8" s="17">
        <v>55.048999999999999</v>
      </c>
      <c r="T8" s="34">
        <f>Q8*0.5+(R8+S8)*0.1</f>
        <v>16.0092</v>
      </c>
      <c r="U8" s="34">
        <f>SUM(T8)/$T$5</f>
        <v>6.6127828050794148E-4</v>
      </c>
      <c r="V8" s="34">
        <f>(O8+T8)*1.2</f>
        <v>175.10111999999995</v>
      </c>
      <c r="W8" s="34">
        <f>SUM(V8)/$V$5</f>
        <v>2.6576356787132104E-3</v>
      </c>
      <c r="X8" s="34">
        <f>Y8/$Y$5</f>
        <v>9.5282930938575452E-3</v>
      </c>
      <c r="Y8" s="34">
        <v>321</v>
      </c>
      <c r="Z8" s="34">
        <f>AA8/$AA$5</f>
        <v>0</v>
      </c>
      <c r="AA8" s="19">
        <v>0</v>
      </c>
      <c r="AB8" s="28">
        <v>0.8</v>
      </c>
      <c r="AC8" s="29">
        <v>0</v>
      </c>
    </row>
    <row r="9" spans="1:29" ht="20.100000000000001" customHeight="1" x14ac:dyDescent="0.15">
      <c r="A9" s="61">
        <v>2</v>
      </c>
      <c r="B9" s="62" t="s">
        <v>57</v>
      </c>
      <c r="C9" s="62"/>
      <c r="D9" s="59">
        <f t="shared" si="1"/>
        <v>830</v>
      </c>
      <c r="E9" s="54">
        <f>SUM(E10:E13)</f>
        <v>270</v>
      </c>
      <c r="F9" s="15"/>
      <c r="G9" s="54">
        <f>SUM(G10:G13)</f>
        <v>560</v>
      </c>
      <c r="H9" s="15"/>
      <c r="I9" s="16"/>
      <c r="J9" s="16"/>
      <c r="K9" s="16"/>
      <c r="L9" s="16"/>
      <c r="M9" s="14"/>
      <c r="N9" s="14"/>
      <c r="O9" s="14"/>
      <c r="P9" s="17"/>
      <c r="Q9" s="14"/>
      <c r="R9" s="14"/>
      <c r="S9" s="14"/>
      <c r="T9" s="12"/>
      <c r="U9" s="34"/>
      <c r="V9" s="12"/>
      <c r="W9" s="34"/>
      <c r="X9" s="34"/>
      <c r="Y9" s="34"/>
      <c r="Z9" s="34"/>
      <c r="AA9" s="19"/>
      <c r="AB9" s="32"/>
      <c r="AC9" s="33"/>
    </row>
    <row r="10" spans="1:29" ht="20.100000000000001" customHeight="1" x14ac:dyDescent="0.15">
      <c r="A10" s="48"/>
      <c r="B10" s="49"/>
      <c r="C10" s="70" t="s">
        <v>29</v>
      </c>
      <c r="D10" s="59">
        <f t="shared" si="1"/>
        <v>690</v>
      </c>
      <c r="E10" s="55">
        <v>270</v>
      </c>
      <c r="F10" s="15">
        <f t="shared" si="2"/>
        <v>241.33697005814912</v>
      </c>
      <c r="G10" s="55">
        <v>420</v>
      </c>
      <c r="H10" s="15">
        <f t="shared" si="3"/>
        <v>414.30574618434025</v>
      </c>
      <c r="I10" s="16">
        <f t="shared" si="4"/>
        <v>0.28526229840275952</v>
      </c>
      <c r="J10" s="16">
        <f t="shared" si="5"/>
        <v>9.25371817707627E-2</v>
      </c>
      <c r="K10" s="16">
        <f t="shared" si="6"/>
        <v>0.69364442009144334</v>
      </c>
      <c r="L10" s="16">
        <f t="shared" si="7"/>
        <v>0.18013293312362619</v>
      </c>
      <c r="M10" s="17">
        <v>478.18899999999996</v>
      </c>
      <c r="N10" s="17">
        <v>795.26100000000008</v>
      </c>
      <c r="O10" s="17">
        <f>M10*1.5+N10*1.2</f>
        <v>1671.5967000000001</v>
      </c>
      <c r="P10" s="17">
        <f>SUM(O10)/$O$5</f>
        <v>5.7323069507054382E-2</v>
      </c>
      <c r="Q10" s="17">
        <v>1322.3879999999999</v>
      </c>
      <c r="R10" s="17">
        <v>3448.5290000000005</v>
      </c>
      <c r="S10" s="17">
        <v>2615.3559999999998</v>
      </c>
      <c r="T10" s="34">
        <f>Q10*0.5+(R10+S10)*0.1</f>
        <v>1267.5825</v>
      </c>
      <c r="U10" s="34">
        <f>SUM(T10)/$T$5</f>
        <v>5.2358942108410023E-2</v>
      </c>
      <c r="V10" s="34">
        <f>(O10+T10)*1.2</f>
        <v>3527.0150399999998</v>
      </c>
      <c r="W10" s="34">
        <f>SUM(V10)/$V$5</f>
        <v>5.3532044853066056E-2</v>
      </c>
      <c r="X10" s="34">
        <f>Y10/$Y$5</f>
        <v>5.4288711436385736E-2</v>
      </c>
      <c r="Y10" s="18">
        <v>1828.94</v>
      </c>
      <c r="Z10" s="34">
        <f>AA10/$AA$5</f>
        <v>0.15106757125203943</v>
      </c>
      <c r="AA10" s="19">
        <v>5496.37</v>
      </c>
      <c r="AB10" s="28">
        <v>1.3</v>
      </c>
      <c r="AC10" s="29">
        <v>1.7</v>
      </c>
    </row>
    <row r="11" spans="1:29" ht="20.100000000000001" customHeight="1" x14ac:dyDescent="0.15">
      <c r="A11" s="48"/>
      <c r="B11" s="70"/>
      <c r="C11" s="70" t="s">
        <v>0</v>
      </c>
      <c r="D11" s="59">
        <f t="shared" si="1"/>
        <v>20</v>
      </c>
      <c r="E11" s="55">
        <v>0</v>
      </c>
      <c r="F11" s="15">
        <f t="shared" si="2"/>
        <v>0</v>
      </c>
      <c r="G11" s="55">
        <v>20</v>
      </c>
      <c r="H11" s="15">
        <f t="shared" si="3"/>
        <v>19.358813511086296</v>
      </c>
      <c r="I11" s="16">
        <f t="shared" si="4"/>
        <v>0</v>
      </c>
      <c r="J11" s="16">
        <f t="shared" si="5"/>
        <v>0</v>
      </c>
      <c r="K11" s="16">
        <f t="shared" si="6"/>
        <v>3.2411167586319616E-2</v>
      </c>
      <c r="L11" s="16">
        <f t="shared" si="7"/>
        <v>8.4168754396027369E-3</v>
      </c>
      <c r="M11" s="20">
        <v>119.011</v>
      </c>
      <c r="N11" s="20">
        <v>233.87100000000001</v>
      </c>
      <c r="O11" s="17">
        <f t="shared" ref="O11:O60" si="8">M11*1.5+N11*1.2</f>
        <v>459.1617</v>
      </c>
      <c r="P11" s="17">
        <f>SUM(O11)/$O$5</f>
        <v>1.5745758557717451E-2</v>
      </c>
      <c r="Q11" s="20">
        <v>189.81200000000001</v>
      </c>
      <c r="R11" s="17">
        <v>487.23200000000003</v>
      </c>
      <c r="S11" s="17">
        <v>494.13799999999998</v>
      </c>
      <c r="T11" s="34">
        <f t="shared" ref="T11:T48" si="9">Q11*0.5+(R11+S11)*0.1</f>
        <v>193.04300000000001</v>
      </c>
      <c r="U11" s="34">
        <f>SUM(T11)/$T$5</f>
        <v>7.9738614736585556E-3</v>
      </c>
      <c r="V11" s="34">
        <f>(O11+T11)*1.2</f>
        <v>782.64563999999996</v>
      </c>
      <c r="W11" s="34">
        <f>SUM(V11)/$V$5</f>
        <v>1.1878775970441168E-2</v>
      </c>
      <c r="X11" s="34">
        <f>Y11/$Y$5</f>
        <v>3.2770204285416604E-4</v>
      </c>
      <c r="Y11" s="18">
        <v>11.04</v>
      </c>
      <c r="Z11" s="34">
        <f>AA11/$AA$5</f>
        <v>1.6490982730642889E-3</v>
      </c>
      <c r="AA11" s="19">
        <v>60</v>
      </c>
      <c r="AB11" s="28">
        <v>0</v>
      </c>
      <c r="AC11" s="29">
        <v>1.4</v>
      </c>
    </row>
    <row r="12" spans="1:29" ht="20.100000000000001" customHeight="1" x14ac:dyDescent="0.15">
      <c r="A12" s="48"/>
      <c r="B12" s="70"/>
      <c r="C12" s="70" t="s">
        <v>1</v>
      </c>
      <c r="D12" s="59">
        <f t="shared" si="1"/>
        <v>100</v>
      </c>
      <c r="E12" s="55">
        <v>0</v>
      </c>
      <c r="F12" s="15">
        <f t="shared" si="2"/>
        <v>0</v>
      </c>
      <c r="G12" s="55">
        <v>100</v>
      </c>
      <c r="H12" s="15">
        <f t="shared" si="3"/>
        <v>92.785001092533065</v>
      </c>
      <c r="I12" s="16">
        <f t="shared" si="4"/>
        <v>0</v>
      </c>
      <c r="J12" s="16">
        <f t="shared" si="5"/>
        <v>0</v>
      </c>
      <c r="K12" s="16">
        <f t="shared" si="6"/>
        <v>0.1553437259047282</v>
      </c>
      <c r="L12" s="16">
        <f t="shared" si="7"/>
        <v>4.0341304822840464E-2</v>
      </c>
      <c r="M12" s="20">
        <v>148.25</v>
      </c>
      <c r="N12" s="20">
        <v>102.027</v>
      </c>
      <c r="O12" s="17">
        <f t="shared" si="8"/>
        <v>344.80740000000003</v>
      </c>
      <c r="P12" s="17">
        <f>SUM(O12)/$O$5</f>
        <v>1.1824274693020574E-2</v>
      </c>
      <c r="Q12" s="20">
        <v>322.923</v>
      </c>
      <c r="R12" s="17">
        <v>715.755</v>
      </c>
      <c r="S12" s="17">
        <v>694.78399999999999</v>
      </c>
      <c r="T12" s="34">
        <f t="shared" si="9"/>
        <v>302.5154</v>
      </c>
      <c r="U12" s="34">
        <f>SUM(T12)/$T$5</f>
        <v>1.2495743918445152E-2</v>
      </c>
      <c r="V12" s="34">
        <f>(O12+T12)*1.2</f>
        <v>776.78736000000004</v>
      </c>
      <c r="W12" s="34">
        <f>SUM(V12)/$V$5</f>
        <v>1.1789860640008719E-2</v>
      </c>
      <c r="X12" s="34">
        <f>Y12/$Y$5</f>
        <v>0</v>
      </c>
      <c r="Y12" s="34">
        <v>0</v>
      </c>
      <c r="Z12" s="34">
        <f>AA12/$AA$5</f>
        <v>2.6693129196955115E-2</v>
      </c>
      <c r="AA12" s="19">
        <v>971.19</v>
      </c>
      <c r="AB12" s="28">
        <v>0</v>
      </c>
      <c r="AC12" s="29">
        <v>2</v>
      </c>
    </row>
    <row r="13" spans="1:29" ht="20.100000000000001" customHeight="1" x14ac:dyDescent="0.15">
      <c r="A13" s="48"/>
      <c r="B13" s="70"/>
      <c r="C13" s="70" t="s">
        <v>40</v>
      </c>
      <c r="D13" s="59">
        <f t="shared" si="1"/>
        <v>20</v>
      </c>
      <c r="E13" s="55">
        <v>0</v>
      </c>
      <c r="F13" s="15">
        <f t="shared" si="2"/>
        <v>0</v>
      </c>
      <c r="G13" s="55">
        <v>20</v>
      </c>
      <c r="H13" s="15">
        <f t="shared" si="3"/>
        <v>19.376545451713127</v>
      </c>
      <c r="I13" s="16">
        <f t="shared" si="4"/>
        <v>0</v>
      </c>
      <c r="J13" s="16">
        <f t="shared" si="5"/>
        <v>0</v>
      </c>
      <c r="K13" s="16">
        <f t="shared" si="6"/>
        <v>3.2440854989370313E-2</v>
      </c>
      <c r="L13" s="16">
        <f t="shared" si="7"/>
        <v>8.424584979005707E-3</v>
      </c>
      <c r="M13" s="20">
        <v>119.333</v>
      </c>
      <c r="N13" s="20">
        <v>185.70999999999998</v>
      </c>
      <c r="O13" s="17">
        <f t="shared" si="8"/>
        <v>401.85149999999999</v>
      </c>
      <c r="P13" s="17">
        <f>SUM(O13)/$O$5</f>
        <v>1.3780454021005223E-2</v>
      </c>
      <c r="Q13" s="20">
        <v>427.279</v>
      </c>
      <c r="R13" s="17">
        <v>496.94499999999999</v>
      </c>
      <c r="S13" s="17">
        <v>444.947</v>
      </c>
      <c r="T13" s="34">
        <f t="shared" si="9"/>
        <v>307.82870000000003</v>
      </c>
      <c r="U13" s="34">
        <f>SUM(T13)/$T$5</f>
        <v>1.271521584007914E-2</v>
      </c>
      <c r="V13" s="34">
        <f>(O13+T13)*1.5</f>
        <v>1064.5203000000001</v>
      </c>
      <c r="W13" s="34">
        <f>SUM(V13)/$V$5</f>
        <v>1.615699048638005E-2</v>
      </c>
      <c r="X13" s="34">
        <f>Y13/$Y$5</f>
        <v>2.0778209238941689E-4</v>
      </c>
      <c r="Y13" s="34">
        <v>7</v>
      </c>
      <c r="Z13" s="34">
        <f>AA13/$AA$5</f>
        <v>1.7843243314555606E-3</v>
      </c>
      <c r="AA13" s="19">
        <v>64.92</v>
      </c>
      <c r="AB13" s="28">
        <v>0</v>
      </c>
      <c r="AC13" s="29">
        <v>1</v>
      </c>
    </row>
    <row r="14" spans="1:29" ht="20.100000000000001" customHeight="1" x14ac:dyDescent="0.15">
      <c r="A14" s="61">
        <v>3</v>
      </c>
      <c r="B14" s="62" t="s">
        <v>58</v>
      </c>
      <c r="C14" s="62"/>
      <c r="D14" s="59">
        <f t="shared" si="1"/>
        <v>160</v>
      </c>
      <c r="E14" s="54">
        <f>SUM(E15:E17)</f>
        <v>120</v>
      </c>
      <c r="F14" s="15"/>
      <c r="G14" s="54">
        <f>SUM(G15:G17)</f>
        <v>40</v>
      </c>
      <c r="H14" s="15"/>
      <c r="I14" s="16"/>
      <c r="J14" s="16"/>
      <c r="K14" s="16"/>
      <c r="L14" s="16"/>
      <c r="M14" s="17"/>
      <c r="N14" s="17"/>
      <c r="O14" s="17"/>
      <c r="P14" s="17"/>
      <c r="Q14" s="17"/>
      <c r="R14" s="17"/>
      <c r="S14" s="17"/>
      <c r="T14" s="34"/>
      <c r="U14" s="34"/>
      <c r="V14" s="34"/>
      <c r="W14" s="34"/>
      <c r="X14" s="34"/>
      <c r="Y14" s="18"/>
      <c r="Z14" s="34"/>
      <c r="AA14" s="19"/>
      <c r="AB14" s="28"/>
      <c r="AC14" s="29"/>
    </row>
    <row r="15" spans="1:29" ht="20.100000000000001" customHeight="1" x14ac:dyDescent="0.15">
      <c r="A15" s="48"/>
      <c r="B15" s="70"/>
      <c r="C15" s="70" t="s">
        <v>29</v>
      </c>
      <c r="D15" s="59">
        <f t="shared" si="1"/>
        <v>100</v>
      </c>
      <c r="E15" s="55">
        <v>60</v>
      </c>
      <c r="F15" s="15">
        <f t="shared" si="2"/>
        <v>59.093280769820687</v>
      </c>
      <c r="G15" s="55">
        <v>40</v>
      </c>
      <c r="H15" s="15">
        <f t="shared" si="3"/>
        <v>42.770430955100053</v>
      </c>
      <c r="I15" s="16">
        <f t="shared" si="4"/>
        <v>6.9848747535435601E-2</v>
      </c>
      <c r="J15" s="16">
        <f t="shared" si="5"/>
        <v>2.2658466552845355E-2</v>
      </c>
      <c r="K15" s="16">
        <f t="shared" si="6"/>
        <v>7.1607673922319481E-2</v>
      </c>
      <c r="L15" s="16">
        <f t="shared" si="7"/>
        <v>1.8595839545695676E-2</v>
      </c>
      <c r="M15" s="17">
        <v>252.7</v>
      </c>
      <c r="N15" s="17">
        <v>791.31899999999996</v>
      </c>
      <c r="O15" s="17">
        <f>M15*1.5+N15*1.2</f>
        <v>1328.6327999999999</v>
      </c>
      <c r="P15" s="17">
        <f>SUM(O15)/$O$5</f>
        <v>4.5562012860968358E-2</v>
      </c>
      <c r="Q15" s="17">
        <v>970.96199999999999</v>
      </c>
      <c r="R15" s="17">
        <v>1875.174</v>
      </c>
      <c r="S15" s="17">
        <v>3222.5990000000002</v>
      </c>
      <c r="T15" s="34">
        <f>Q15*0.5+(R15+S15)*0.1</f>
        <v>995.25829999999996</v>
      </c>
      <c r="U15" s="34">
        <f>SUM(T15)/$T$5</f>
        <v>4.1110280169231253E-2</v>
      </c>
      <c r="V15" s="34">
        <f>(O15+T15)*1</f>
        <v>2323.8910999999998</v>
      </c>
      <c r="W15" s="34">
        <f>SUM(V15)/$V$5</f>
        <v>3.5271367200872789E-2</v>
      </c>
      <c r="X15" s="34">
        <f>Y15/$Y$5</f>
        <v>1.7790599581942432E-2</v>
      </c>
      <c r="Y15" s="18">
        <v>599.35</v>
      </c>
      <c r="Z15" s="34">
        <f>AA15/$AA$5</f>
        <v>1.2957514830890473E-2</v>
      </c>
      <c r="AA15" s="19">
        <v>471.44</v>
      </c>
      <c r="AB15" s="28">
        <v>0.6</v>
      </c>
      <c r="AC15" s="29">
        <v>0.7</v>
      </c>
    </row>
    <row r="16" spans="1:29" ht="20.100000000000001" customHeight="1" x14ac:dyDescent="0.15">
      <c r="A16" s="48"/>
      <c r="B16" s="70"/>
      <c r="C16" s="70" t="s">
        <v>19</v>
      </c>
      <c r="D16" s="59">
        <f t="shared" si="1"/>
        <v>30</v>
      </c>
      <c r="E16" s="55">
        <v>30</v>
      </c>
      <c r="F16" s="15">
        <f t="shared" si="2"/>
        <v>30.561555287623101</v>
      </c>
      <c r="G16" s="55">
        <v>0</v>
      </c>
      <c r="H16" s="15">
        <f t="shared" si="3"/>
        <v>0</v>
      </c>
      <c r="I16" s="16">
        <f t="shared" si="4"/>
        <v>3.6124011592628326E-2</v>
      </c>
      <c r="J16" s="16">
        <f t="shared" si="5"/>
        <v>1.1718387763659164E-2</v>
      </c>
      <c r="K16" s="16">
        <f t="shared" si="6"/>
        <v>0</v>
      </c>
      <c r="L16" s="16">
        <f t="shared" si="7"/>
        <v>0</v>
      </c>
      <c r="M16" s="20">
        <v>215.72399999999999</v>
      </c>
      <c r="N16" s="20">
        <v>285.49299999999999</v>
      </c>
      <c r="O16" s="17">
        <f>M16*1.5+N16*1.2</f>
        <v>666.17759999999998</v>
      </c>
      <c r="P16" s="17">
        <f>SUM(O16)/$O$5</f>
        <v>2.2844831452971084E-2</v>
      </c>
      <c r="Q16" s="20">
        <v>417.70499999999998</v>
      </c>
      <c r="R16" s="17">
        <v>1142.702</v>
      </c>
      <c r="S16" s="17">
        <v>1607.7049999999999</v>
      </c>
      <c r="T16" s="34">
        <f>Q16*0.5+(R16+S16)*0.1</f>
        <v>483.89319999999998</v>
      </c>
      <c r="U16" s="34">
        <f>SUM(T16)/$T$5</f>
        <v>1.9987760990273429E-2</v>
      </c>
      <c r="V16" s="34">
        <f>(O16+T16)*1.5</f>
        <v>1725.1061999999999</v>
      </c>
      <c r="W16" s="34">
        <f>SUM(V16)/$V$5</f>
        <v>2.6183177964192166E-2</v>
      </c>
      <c r="X16" s="34">
        <f>Y16/$Y$5</f>
        <v>5.5893382852753148E-3</v>
      </c>
      <c r="Y16" s="34">
        <v>188.3</v>
      </c>
      <c r="Z16" s="34">
        <f>AA16/$AA$5</f>
        <v>6.046693667902393E-4</v>
      </c>
      <c r="AA16" s="19">
        <v>22</v>
      </c>
      <c r="AB16" s="28">
        <v>0.6</v>
      </c>
      <c r="AC16" s="29">
        <v>0</v>
      </c>
    </row>
    <row r="17" spans="1:29" ht="20.100000000000001" customHeight="1" x14ac:dyDescent="0.15">
      <c r="A17" s="48"/>
      <c r="B17" s="70"/>
      <c r="C17" s="70" t="s">
        <v>20</v>
      </c>
      <c r="D17" s="59">
        <f t="shared" si="1"/>
        <v>30</v>
      </c>
      <c r="E17" s="55">
        <v>30</v>
      </c>
      <c r="F17" s="15">
        <f t="shared" si="2"/>
        <v>30.792776804505117</v>
      </c>
      <c r="G17" s="55">
        <v>0</v>
      </c>
      <c r="H17" s="15">
        <f t="shared" si="3"/>
        <v>0</v>
      </c>
      <c r="I17" s="16">
        <f t="shared" si="4"/>
        <v>3.6397317341557073E-2</v>
      </c>
      <c r="J17" s="16">
        <f t="shared" si="5"/>
        <v>1.1807046320745827E-2</v>
      </c>
      <c r="K17" s="16">
        <f t="shared" si="6"/>
        <v>0</v>
      </c>
      <c r="L17" s="16">
        <f t="shared" si="7"/>
        <v>0</v>
      </c>
      <c r="M17" s="20">
        <v>159.77100000000002</v>
      </c>
      <c r="N17" s="20">
        <v>91.341999999999999</v>
      </c>
      <c r="O17" s="17">
        <f>M17*1.5+N17*1.2</f>
        <v>349.26690000000002</v>
      </c>
      <c r="P17" s="17">
        <f>SUM(O17)/$O$5</f>
        <v>1.1977201669046974E-2</v>
      </c>
      <c r="Q17" s="20">
        <v>341.85500000000002</v>
      </c>
      <c r="R17" s="17">
        <v>681.06200000000001</v>
      </c>
      <c r="S17" s="17">
        <v>876.34</v>
      </c>
      <c r="T17" s="34">
        <f>Q17*0.5+(R17+S17)*0.1</f>
        <v>326.66770000000002</v>
      </c>
      <c r="U17" s="34">
        <f>SUM(T17)/$T$5</f>
        <v>1.3493382239804867E-2</v>
      </c>
      <c r="V17" s="34">
        <f>(O17+T17)*1.5</f>
        <v>1013.9019000000001</v>
      </c>
      <c r="W17" s="34">
        <f>SUM(V17)/$V$5</f>
        <v>1.5388718611023814E-2</v>
      </c>
      <c r="X17" s="34">
        <f>Y17/$Y$5</f>
        <v>4.5156985307431416E-3</v>
      </c>
      <c r="Y17" s="18">
        <v>152.13</v>
      </c>
      <c r="Z17" s="34">
        <f>AA17/$AA$5</f>
        <v>9.0975254730713277E-4</v>
      </c>
      <c r="AA17" s="19">
        <v>33.1</v>
      </c>
      <c r="AB17" s="28">
        <v>1</v>
      </c>
      <c r="AC17" s="29">
        <v>0</v>
      </c>
    </row>
    <row r="18" spans="1:29" ht="20.100000000000001" customHeight="1" x14ac:dyDescent="0.15">
      <c r="A18" s="61">
        <v>4</v>
      </c>
      <c r="B18" s="62" t="s">
        <v>59</v>
      </c>
      <c r="C18" s="62"/>
      <c r="D18" s="59">
        <f t="shared" si="1"/>
        <v>900</v>
      </c>
      <c r="E18" s="54">
        <f>SUM(E19:E23)</f>
        <v>620</v>
      </c>
      <c r="F18" s="15"/>
      <c r="G18" s="54">
        <f>SUM(G19:G23)</f>
        <v>280</v>
      </c>
      <c r="H18" s="15"/>
      <c r="I18" s="16"/>
      <c r="J18" s="16"/>
      <c r="K18" s="16"/>
      <c r="L18" s="16"/>
      <c r="M18" s="17"/>
      <c r="N18" s="17"/>
      <c r="O18" s="17"/>
      <c r="P18" s="17"/>
      <c r="Q18" s="17"/>
      <c r="R18" s="17"/>
      <c r="S18" s="17"/>
      <c r="T18" s="34"/>
      <c r="U18" s="34"/>
      <c r="V18" s="34"/>
      <c r="W18" s="34"/>
      <c r="X18" s="34"/>
      <c r="Y18" s="18"/>
      <c r="Z18" s="34"/>
      <c r="AA18" s="19"/>
      <c r="AB18" s="28"/>
      <c r="AC18" s="29"/>
    </row>
    <row r="19" spans="1:29" ht="20.100000000000001" customHeight="1" x14ac:dyDescent="0.15">
      <c r="A19" s="48"/>
      <c r="B19" s="70"/>
      <c r="C19" s="70" t="s">
        <v>29</v>
      </c>
      <c r="D19" s="59">
        <f t="shared" si="1"/>
        <v>100</v>
      </c>
      <c r="E19" s="55">
        <v>70</v>
      </c>
      <c r="F19" s="15">
        <f t="shared" si="2"/>
        <v>71.426839033441794</v>
      </c>
      <c r="G19" s="55">
        <v>30</v>
      </c>
      <c r="H19" s="15">
        <f t="shared" si="3"/>
        <v>30.156146105539008</v>
      </c>
      <c r="I19" s="16">
        <f t="shared" si="4"/>
        <v>8.4427115602778061E-2</v>
      </c>
      <c r="J19" s="16">
        <f t="shared" si="5"/>
        <v>2.7387591653927068E-2</v>
      </c>
      <c r="K19" s="16">
        <f t="shared" si="6"/>
        <v>5.04884198933181E-2</v>
      </c>
      <c r="L19" s="16">
        <f t="shared" si="7"/>
        <v>1.3111367871973482E-2</v>
      </c>
      <c r="M19" s="17">
        <v>252.55099999999999</v>
      </c>
      <c r="N19" s="17">
        <v>864.34500000000003</v>
      </c>
      <c r="O19" s="17">
        <f>M19*1.5+N19*1.2</f>
        <v>1416.0405000000001</v>
      </c>
      <c r="P19" s="17">
        <f>SUM(O19)/$O$5</f>
        <v>4.8559433029691935E-2</v>
      </c>
      <c r="Q19" s="17">
        <v>1368.0200000000002</v>
      </c>
      <c r="R19" s="17">
        <v>1872.08</v>
      </c>
      <c r="S19" s="17">
        <v>2797.337</v>
      </c>
      <c r="T19" s="34">
        <f>Q19*0.5+(R19+S19)*0.1</f>
        <v>1150.9517000000001</v>
      </c>
      <c r="U19" s="34">
        <f>SUM(T19)/$T$5</f>
        <v>4.7541373780307081E-2</v>
      </c>
      <c r="V19" s="34">
        <f>(O19+T19)*1.5</f>
        <v>3850.4883</v>
      </c>
      <c r="W19" s="34">
        <f>SUM(V19)/$V$5</f>
        <v>5.8441631250261437E-2</v>
      </c>
      <c r="X19" s="34">
        <f>Y19/$Y$5</f>
        <v>3.0926583462801371E-2</v>
      </c>
      <c r="Y19" s="18">
        <v>1041.8900000000001</v>
      </c>
      <c r="Z19" s="34">
        <f>AA19/$AA$5</f>
        <v>3.1155863973579254E-2</v>
      </c>
      <c r="AA19" s="19">
        <v>1133.56</v>
      </c>
      <c r="AB19" s="28">
        <v>0.5</v>
      </c>
      <c r="AC19" s="29">
        <v>0.3</v>
      </c>
    </row>
    <row r="20" spans="1:29" ht="20.100000000000001" customHeight="1" x14ac:dyDescent="0.15">
      <c r="A20" s="48"/>
      <c r="B20" s="70"/>
      <c r="C20" s="70" t="s">
        <v>15</v>
      </c>
      <c r="D20" s="59">
        <f t="shared" si="1"/>
        <v>230</v>
      </c>
      <c r="E20" s="55">
        <v>170</v>
      </c>
      <c r="F20" s="15">
        <f t="shared" si="2"/>
        <v>168.65995533436495</v>
      </c>
      <c r="G20" s="55">
        <v>60</v>
      </c>
      <c r="H20" s="15">
        <f t="shared" si="3"/>
        <v>57.861389618534659</v>
      </c>
      <c r="I20" s="16">
        <f t="shared" si="4"/>
        <v>0.19935746477464786</v>
      </c>
      <c r="J20" s="16">
        <f t="shared" si="5"/>
        <v>6.4670228272379199E-2</v>
      </c>
      <c r="K20" s="16">
        <f t="shared" si="6"/>
        <v>9.6873457385686021E-2</v>
      </c>
      <c r="L20" s="16">
        <f t="shared" si="7"/>
        <v>2.5157125921102027E-2</v>
      </c>
      <c r="M20" s="20">
        <v>59.910000000000004</v>
      </c>
      <c r="N20" s="20">
        <v>387.40199999999999</v>
      </c>
      <c r="O20" s="17">
        <f>M20*1.5+N20*1.2</f>
        <v>554.74739999999997</v>
      </c>
      <c r="P20" s="17">
        <f>SUM(O20)/$O$5</f>
        <v>1.9023622007065279E-2</v>
      </c>
      <c r="Q20" s="20">
        <v>363.54899999999998</v>
      </c>
      <c r="R20" s="17">
        <v>1566.0129999999999</v>
      </c>
      <c r="S20" s="17">
        <v>555.69500000000005</v>
      </c>
      <c r="T20" s="34">
        <f>Q20*0.5+(R20+S20)*0.1</f>
        <v>393.94529999999997</v>
      </c>
      <c r="U20" s="34">
        <f>SUM(T20)/$T$5</f>
        <v>1.6272360305211075E-2</v>
      </c>
      <c r="V20" s="34">
        <f>(O20+T20)*1.5</f>
        <v>1423.0390499999999</v>
      </c>
      <c r="W20" s="34">
        <f>SUM(V20)/$V$5</f>
        <v>2.1598487499578257E-2</v>
      </c>
      <c r="X20" s="34">
        <f>Y20/$Y$5</f>
        <v>9.0443092343704817E-2</v>
      </c>
      <c r="Y20" s="18">
        <v>3046.95</v>
      </c>
      <c r="Z20" s="34">
        <f>AA20/$AA$5</f>
        <v>7.7938033483291355E-2</v>
      </c>
      <c r="AA20" s="19">
        <v>2835.66</v>
      </c>
      <c r="AB20" s="28">
        <v>0.9</v>
      </c>
      <c r="AC20" s="29">
        <v>0.5</v>
      </c>
    </row>
    <row r="21" spans="1:29" ht="20.100000000000001" customHeight="1" x14ac:dyDescent="0.15">
      <c r="A21" s="48"/>
      <c r="B21" s="70"/>
      <c r="C21" s="70" t="s">
        <v>12</v>
      </c>
      <c r="D21" s="59">
        <f t="shared" si="1"/>
        <v>40</v>
      </c>
      <c r="E21" s="55">
        <v>20</v>
      </c>
      <c r="F21" s="15">
        <f t="shared" si="2"/>
        <v>20.198426301353226</v>
      </c>
      <c r="G21" s="55">
        <v>20</v>
      </c>
      <c r="H21" s="15">
        <f t="shared" si="3"/>
        <v>20.126451519609141</v>
      </c>
      <c r="I21" s="16">
        <f t="shared" si="4"/>
        <v>2.3874707258711655E-2</v>
      </c>
      <c r="J21" s="16">
        <f t="shared" si="5"/>
        <v>7.7447953609483229E-3</v>
      </c>
      <c r="K21" s="16">
        <f t="shared" si="6"/>
        <v>3.3696372597753529E-2</v>
      </c>
      <c r="L21" s="16">
        <f t="shared" si="7"/>
        <v>8.750631095482235E-3</v>
      </c>
      <c r="M21" s="20">
        <v>102.521</v>
      </c>
      <c r="N21" s="20">
        <v>345.37200000000001</v>
      </c>
      <c r="O21" s="17">
        <f>M21*1.5+N21*1.2</f>
        <v>568.22789999999998</v>
      </c>
      <c r="P21" s="17">
        <f>SUM(O21)/$O$5</f>
        <v>1.9485900760361361E-2</v>
      </c>
      <c r="Q21" s="20">
        <v>552.54399999999998</v>
      </c>
      <c r="R21" s="17">
        <v>1145.087</v>
      </c>
      <c r="S21" s="17">
        <v>1321.875</v>
      </c>
      <c r="T21" s="34">
        <f>Q21*0.5+(R21+S21)*0.1</f>
        <v>522.96820000000002</v>
      </c>
      <c r="U21" s="34">
        <f>SUM(T21)/$T$5</f>
        <v>2.1601798469400923E-2</v>
      </c>
      <c r="V21" s="34">
        <f>(O21+T21)*1.5</f>
        <v>1636.7941500000002</v>
      </c>
      <c r="W21" s="34">
        <f>SUM(V21)/$V$5</f>
        <v>2.4842802443234308E-2</v>
      </c>
      <c r="X21" s="34">
        <f>Y21/$Y$5</f>
        <v>7.679032471591735E-3</v>
      </c>
      <c r="Y21" s="34">
        <v>258.7</v>
      </c>
      <c r="Z21" s="34">
        <f>AA21/$AA$5</f>
        <v>8.4653711350633504E-4</v>
      </c>
      <c r="AA21" s="19">
        <v>30.8</v>
      </c>
      <c r="AB21" s="28">
        <v>0.4</v>
      </c>
      <c r="AC21" s="29">
        <v>0.7</v>
      </c>
    </row>
    <row r="22" spans="1:29" ht="20.100000000000001" customHeight="1" x14ac:dyDescent="0.15">
      <c r="A22" s="48"/>
      <c r="B22" s="70"/>
      <c r="C22" s="70" t="s">
        <v>13</v>
      </c>
      <c r="D22" s="59">
        <f t="shared" si="1"/>
        <v>220</v>
      </c>
      <c r="E22" s="55">
        <v>160</v>
      </c>
      <c r="F22" s="15">
        <f t="shared" si="2"/>
        <v>160.64154348992142</v>
      </c>
      <c r="G22" s="55">
        <v>60</v>
      </c>
      <c r="H22" s="15">
        <f t="shared" si="3"/>
        <v>67.656251636118242</v>
      </c>
      <c r="I22" s="16">
        <f t="shared" si="4"/>
        <v>0.1898796355314335</v>
      </c>
      <c r="J22" s="16">
        <f t="shared" si="5"/>
        <v>6.1595683853497479E-2</v>
      </c>
      <c r="K22" s="16">
        <f t="shared" si="6"/>
        <v>0.1132723402074548</v>
      </c>
      <c r="L22" s="16">
        <f t="shared" si="7"/>
        <v>2.9415761580920977E-2</v>
      </c>
      <c r="M22" s="20">
        <v>212.262</v>
      </c>
      <c r="N22" s="20">
        <v>232.64700000000002</v>
      </c>
      <c r="O22" s="17">
        <f>M22*1.5+N22*1.2</f>
        <v>597.56940000000009</v>
      </c>
      <c r="P22" s="17">
        <f>SUM(O22)/$O$5</f>
        <v>2.0492091334882861E-2</v>
      </c>
      <c r="Q22" s="20">
        <v>393.89800000000002</v>
      </c>
      <c r="R22" s="17">
        <v>1073.4010000000001</v>
      </c>
      <c r="S22" s="17">
        <v>754.48299999999995</v>
      </c>
      <c r="T22" s="34">
        <f>Q22*0.5+(R22+S22)*0.1</f>
        <v>379.73740000000004</v>
      </c>
      <c r="U22" s="34">
        <f>SUM(T22)/$T$5</f>
        <v>1.5685486777387778E-2</v>
      </c>
      <c r="V22" s="34">
        <f>(O22+T22)*1.5</f>
        <v>1465.9602</v>
      </c>
      <c r="W22" s="34">
        <f>SUM(V22)/$V$5</f>
        <v>2.2249932673723358E-2</v>
      </c>
      <c r="X22" s="34">
        <f>Y22/$Y$5</f>
        <v>9.7303760202842815E-2</v>
      </c>
      <c r="Y22" s="18">
        <v>3278.08</v>
      </c>
      <c r="Z22" s="34">
        <f>AA22/$AA$5</f>
        <v>7.5425907113990096E-2</v>
      </c>
      <c r="AA22" s="19">
        <v>2744.26</v>
      </c>
      <c r="AB22" s="28">
        <v>0.8</v>
      </c>
      <c r="AC22" s="29">
        <v>0.6</v>
      </c>
    </row>
    <row r="23" spans="1:29" ht="20.100000000000001" customHeight="1" x14ac:dyDescent="0.15">
      <c r="A23" s="48"/>
      <c r="B23" s="70"/>
      <c r="C23" s="70" t="s">
        <v>14</v>
      </c>
      <c r="D23" s="59">
        <f t="shared" si="1"/>
        <v>310</v>
      </c>
      <c r="E23" s="55">
        <v>200</v>
      </c>
      <c r="F23" s="15">
        <f t="shared" si="2"/>
        <v>202.07115441401032</v>
      </c>
      <c r="G23" s="55">
        <v>110</v>
      </c>
      <c r="H23" s="15">
        <f t="shared" si="3"/>
        <v>110.66336618590694</v>
      </c>
      <c r="I23" s="16">
        <f t="shared" si="4"/>
        <v>0.23884977894249107</v>
      </c>
      <c r="J23" s="16">
        <f t="shared" si="5"/>
        <v>7.7481270864267759E-2</v>
      </c>
      <c r="K23" s="16">
        <f t="shared" si="6"/>
        <v>0.18527627765325896</v>
      </c>
      <c r="L23" s="16">
        <f t="shared" si="7"/>
        <v>4.8114507037350845E-2</v>
      </c>
      <c r="M23" s="20">
        <v>206.46899999999999</v>
      </c>
      <c r="N23" s="20">
        <v>448.89599999999996</v>
      </c>
      <c r="O23" s="17">
        <f>M23*1.5+N23*1.2</f>
        <v>848.37869999999987</v>
      </c>
      <c r="P23" s="17">
        <f>SUM(O23)/$O$5</f>
        <v>2.9092945199284268E-2</v>
      </c>
      <c r="Q23" s="20">
        <v>488.43</v>
      </c>
      <c r="R23" s="17">
        <v>1388.44</v>
      </c>
      <c r="S23" s="17">
        <v>1348.952</v>
      </c>
      <c r="T23" s="34">
        <f>Q23*0.5+(R23+S23)*0.1</f>
        <v>517.95420000000001</v>
      </c>
      <c r="U23" s="34">
        <f>SUM(T23)/$T$5</f>
        <v>2.1394689475917997E-2</v>
      </c>
      <c r="V23" s="34">
        <f>(O23+T23)*1.5</f>
        <v>2049.49935</v>
      </c>
      <c r="W23" s="34">
        <f>SUM(V23)/$V$5</f>
        <v>3.1106726193753272E-2</v>
      </c>
      <c r="X23" s="34">
        <f>Y23/$Y$5</f>
        <v>0.10259448593819849</v>
      </c>
      <c r="Y23" s="18">
        <v>3456.32</v>
      </c>
      <c r="Z23" s="34">
        <f>AA23/$AA$5</f>
        <v>0.15902556981842333</v>
      </c>
      <c r="AA23" s="19">
        <v>5785.91</v>
      </c>
      <c r="AB23" s="28">
        <v>0.9</v>
      </c>
      <c r="AC23" s="29">
        <v>0.5</v>
      </c>
    </row>
    <row r="24" spans="1:29" ht="20.100000000000001" customHeight="1" x14ac:dyDescent="0.15">
      <c r="A24" s="61">
        <v>5</v>
      </c>
      <c r="B24" s="62" t="s">
        <v>60</v>
      </c>
      <c r="C24" s="62"/>
      <c r="D24" s="59">
        <f t="shared" si="1"/>
        <v>250</v>
      </c>
      <c r="E24" s="54">
        <f>SUM(E25:E26)</f>
        <v>125</v>
      </c>
      <c r="F24" s="15"/>
      <c r="G24" s="54">
        <f>SUM(G25:G26)</f>
        <v>125</v>
      </c>
      <c r="H24" s="15"/>
      <c r="I24" s="16"/>
      <c r="J24" s="16"/>
      <c r="K24" s="16"/>
      <c r="L24" s="16"/>
      <c r="M24" s="17"/>
      <c r="N24" s="17"/>
      <c r="O24" s="17"/>
      <c r="P24" s="17"/>
      <c r="Q24" s="17"/>
      <c r="R24" s="17"/>
      <c r="S24" s="17"/>
      <c r="T24" s="34"/>
      <c r="U24" s="34"/>
      <c r="V24" s="34"/>
      <c r="W24" s="34"/>
      <c r="X24" s="34"/>
      <c r="Y24" s="18"/>
      <c r="Z24" s="34"/>
      <c r="AA24" s="19"/>
      <c r="AB24" s="28"/>
      <c r="AC24" s="29"/>
    </row>
    <row r="25" spans="1:29" ht="20.100000000000001" customHeight="1" x14ac:dyDescent="0.15">
      <c r="A25" s="48"/>
      <c r="B25" s="70"/>
      <c r="C25" s="70" t="s">
        <v>29</v>
      </c>
      <c r="D25" s="59">
        <f t="shared" si="1"/>
        <v>230</v>
      </c>
      <c r="E25" s="55">
        <v>125</v>
      </c>
      <c r="F25" s="15">
        <f t="shared" si="2"/>
        <v>121.97359661924557</v>
      </c>
      <c r="G25" s="55">
        <v>105</v>
      </c>
      <c r="H25" s="15">
        <f t="shared" si="3"/>
        <v>105.13051784098406</v>
      </c>
      <c r="I25" s="16">
        <f t="shared" si="4"/>
        <v>0.14417380191552695</v>
      </c>
      <c r="J25" s="16">
        <f t="shared" si="5"/>
        <v>4.6769017108606432E-2</v>
      </c>
      <c r="K25" s="16">
        <f t="shared" si="6"/>
        <v>0.17601299946555954</v>
      </c>
      <c r="L25" s="16">
        <f t="shared" si="7"/>
        <v>4.5708920800427849E-2</v>
      </c>
      <c r="M25" s="17">
        <v>352.30800000000005</v>
      </c>
      <c r="N25" s="17">
        <v>712.678</v>
      </c>
      <c r="O25" s="17">
        <f>M25*1.5+N25*1.2</f>
        <v>1383.6756</v>
      </c>
      <c r="P25" s="17">
        <f>SUM(O25)/$O$5</f>
        <v>4.7449562800653516E-2</v>
      </c>
      <c r="Q25" s="17">
        <v>1276.8789999999999</v>
      </c>
      <c r="R25" s="17">
        <v>3382.3890000000001</v>
      </c>
      <c r="S25" s="17">
        <v>3202.4580000000005</v>
      </c>
      <c r="T25" s="34">
        <f>Q25*0.5+(R25+S25)*0.1</f>
        <v>1296.9241999999999</v>
      </c>
      <c r="U25" s="34">
        <f>SUM(T25)/$T$5</f>
        <v>5.3570934520471826E-2</v>
      </c>
      <c r="V25" s="34">
        <f>(O25+T25)*1.2</f>
        <v>3216.71976</v>
      </c>
      <c r="W25" s="34">
        <f>SUM(V25)/$V$5</f>
        <v>4.8822470139527362E-2</v>
      </c>
      <c r="X25" s="34">
        <f>Y25/$Y$5</f>
        <v>5.4845270612428818E-2</v>
      </c>
      <c r="Y25" s="18">
        <v>1847.69</v>
      </c>
      <c r="Z25" s="34">
        <f>AA25/$AA$5</f>
        <v>3.6809797402780169E-2</v>
      </c>
      <c r="AA25" s="19">
        <v>1339.27</v>
      </c>
      <c r="AB25" s="28">
        <v>0.7</v>
      </c>
      <c r="AC25" s="29">
        <v>1</v>
      </c>
    </row>
    <row r="26" spans="1:29" ht="20.100000000000001" customHeight="1" x14ac:dyDescent="0.15">
      <c r="A26" s="48"/>
      <c r="B26" s="70"/>
      <c r="C26" s="70" t="s">
        <v>11</v>
      </c>
      <c r="D26" s="59">
        <f t="shared" si="1"/>
        <v>20</v>
      </c>
      <c r="E26" s="55">
        <v>0</v>
      </c>
      <c r="F26" s="15">
        <f t="shared" si="2"/>
        <v>0</v>
      </c>
      <c r="G26" s="55">
        <v>20</v>
      </c>
      <c r="H26" s="15">
        <f t="shared" si="3"/>
        <v>20.783285060622848</v>
      </c>
      <c r="I26" s="16">
        <f t="shared" si="4"/>
        <v>0</v>
      </c>
      <c r="J26" s="16">
        <f t="shared" si="5"/>
        <v>0</v>
      </c>
      <c r="K26" s="16">
        <f t="shared" si="6"/>
        <v>3.479606509501941E-2</v>
      </c>
      <c r="L26" s="16">
        <f t="shared" si="7"/>
        <v>9.0362108959229775E-3</v>
      </c>
      <c r="M26" s="20">
        <v>188.22900000000001</v>
      </c>
      <c r="N26" s="20">
        <v>132.08600000000001</v>
      </c>
      <c r="O26" s="17">
        <f>M26*1.5+N26*1.2</f>
        <v>440.84670000000006</v>
      </c>
      <c r="P26" s="17">
        <f>SUM(O26)/$O$5</f>
        <v>1.5117693176862309E-2</v>
      </c>
      <c r="Q26" s="20">
        <v>404.80100000000004</v>
      </c>
      <c r="R26" s="17">
        <v>1409.539</v>
      </c>
      <c r="S26" s="17">
        <v>1592.6890000000001</v>
      </c>
      <c r="T26" s="34">
        <f>Q26*0.5+(R26+S26)*0.1</f>
        <v>502.62330000000003</v>
      </c>
      <c r="U26" s="34">
        <f>SUM(T26)/$T$5</f>
        <v>2.0761429151189767E-2</v>
      </c>
      <c r="V26" s="34">
        <f>(O26+T26)*1.2</f>
        <v>1132.164</v>
      </c>
      <c r="W26" s="34">
        <f>SUM(V26)/$V$5</f>
        <v>1.7183667589074608E-2</v>
      </c>
      <c r="X26" s="34">
        <f>Y26/$Y$5</f>
        <v>3.8588102872320277E-4</v>
      </c>
      <c r="Y26" s="34">
        <v>13</v>
      </c>
      <c r="Z26" s="34">
        <f>AA26/$AA$5</f>
        <v>5.8817838405959642E-3</v>
      </c>
      <c r="AA26" s="19">
        <v>214</v>
      </c>
      <c r="AB26" s="28">
        <v>0</v>
      </c>
      <c r="AC26" s="29">
        <v>0.7</v>
      </c>
    </row>
    <row r="27" spans="1:29" ht="20.100000000000001" customHeight="1" x14ac:dyDescent="0.15">
      <c r="A27" s="61">
        <v>6</v>
      </c>
      <c r="B27" s="62" t="s">
        <v>61</v>
      </c>
      <c r="C27" s="62"/>
      <c r="D27" s="59">
        <f t="shared" si="1"/>
        <v>80</v>
      </c>
      <c r="E27" s="54">
        <f>SUM(E28:E30)</f>
        <v>40</v>
      </c>
      <c r="F27" s="15"/>
      <c r="G27" s="54">
        <f>SUM(G28:G30)</f>
        <v>40</v>
      </c>
      <c r="H27" s="15"/>
      <c r="I27" s="16"/>
      <c r="J27" s="16"/>
      <c r="K27" s="16"/>
      <c r="L27" s="16"/>
      <c r="M27" s="17"/>
      <c r="N27" s="17"/>
      <c r="O27" s="17"/>
      <c r="P27" s="17"/>
      <c r="Q27" s="17"/>
      <c r="R27" s="17"/>
      <c r="S27" s="17"/>
      <c r="T27" s="34"/>
      <c r="U27" s="34"/>
      <c r="V27" s="34"/>
      <c r="W27" s="34"/>
      <c r="X27" s="34"/>
      <c r="Y27" s="18"/>
      <c r="Z27" s="34"/>
      <c r="AA27" s="19"/>
      <c r="AB27" s="28"/>
      <c r="AC27" s="29"/>
    </row>
    <row r="28" spans="1:29" ht="20.100000000000001" customHeight="1" x14ac:dyDescent="0.15">
      <c r="A28" s="48"/>
      <c r="B28" s="70"/>
      <c r="C28" s="70" t="s">
        <v>18</v>
      </c>
      <c r="D28" s="59">
        <f t="shared" si="1"/>
        <v>30</v>
      </c>
      <c r="E28" s="55">
        <v>10</v>
      </c>
      <c r="F28" s="15">
        <f t="shared" si="2"/>
        <v>10.93733901569931</v>
      </c>
      <c r="G28" s="55">
        <v>20</v>
      </c>
      <c r="H28" s="15">
        <f t="shared" si="3"/>
        <v>20.963943465268084</v>
      </c>
      <c r="I28" s="16">
        <f t="shared" si="4"/>
        <v>1.292802534678714E-2</v>
      </c>
      <c r="J28" s="16">
        <f t="shared" si="5"/>
        <v>4.1937649600074043E-3</v>
      </c>
      <c r="K28" s="16">
        <f t="shared" si="6"/>
        <v>3.5098529387341905E-2</v>
      </c>
      <c r="L28" s="16">
        <f t="shared" si="7"/>
        <v>9.1147580283774277E-3</v>
      </c>
      <c r="M28" s="20">
        <v>118.404</v>
      </c>
      <c r="N28" s="20">
        <v>128.142</v>
      </c>
      <c r="O28" s="17">
        <f>M28*1.5+N28*1.2</f>
        <v>331.37639999999999</v>
      </c>
      <c r="P28" s="17">
        <f>SUM(O28)/$O$5</f>
        <v>1.13636934137268E-2</v>
      </c>
      <c r="Q28" s="20">
        <v>366.411</v>
      </c>
      <c r="R28" s="17">
        <v>940.93200000000002</v>
      </c>
      <c r="S28" s="17">
        <v>530.08799999999997</v>
      </c>
      <c r="T28" s="34">
        <f>Q28*0.5+(R28+S28)*0.1</f>
        <v>330.3075</v>
      </c>
      <c r="U28" s="34">
        <f>SUM(T28)/$T$5</f>
        <v>1.3643728333637964E-2</v>
      </c>
      <c r="V28" s="34">
        <f>(O28+T28)*1.2</f>
        <v>794.02067999999997</v>
      </c>
      <c r="W28" s="34">
        <f>SUM(V28)/$V$5</f>
        <v>1.2051423136551755E-2</v>
      </c>
      <c r="X28" s="34">
        <f>Y28/$Y$5</f>
        <v>4.4524734083446474E-3</v>
      </c>
      <c r="Y28" s="34">
        <v>150</v>
      </c>
      <c r="Z28" s="34">
        <f>AA28/$AA$5</f>
        <v>9.089005131993828E-3</v>
      </c>
      <c r="AA28" s="19">
        <v>330.69</v>
      </c>
      <c r="AB28" s="28">
        <v>0.4</v>
      </c>
      <c r="AC28" s="29">
        <v>0.8</v>
      </c>
    </row>
    <row r="29" spans="1:29" ht="20.100000000000001" customHeight="1" x14ac:dyDescent="0.15">
      <c r="A29" s="48"/>
      <c r="B29" s="70"/>
      <c r="C29" s="70" t="s">
        <v>16</v>
      </c>
      <c r="D29" s="59">
        <f t="shared" si="1"/>
        <v>40</v>
      </c>
      <c r="E29" s="55">
        <v>20</v>
      </c>
      <c r="F29" s="15">
        <f t="shared" si="2"/>
        <v>19.363341204842481</v>
      </c>
      <c r="G29" s="55">
        <v>20</v>
      </c>
      <c r="H29" s="15">
        <f t="shared" si="3"/>
        <v>18.541715067690948</v>
      </c>
      <c r="I29" s="16">
        <f t="shared" si="4"/>
        <v>2.2887629754858235E-2</v>
      </c>
      <c r="J29" s="16">
        <f t="shared" si="5"/>
        <v>7.4245940202616869E-3</v>
      </c>
      <c r="K29" s="16">
        <f t="shared" si="6"/>
        <v>3.1043154274540914E-2</v>
      </c>
      <c r="L29" s="16">
        <f t="shared" si="7"/>
        <v>8.0616152468221507E-3</v>
      </c>
      <c r="M29" s="20">
        <v>124.114</v>
      </c>
      <c r="N29" s="20">
        <v>126.50299999999999</v>
      </c>
      <c r="O29" s="17">
        <f>M29*1.5+N29*1.2</f>
        <v>337.97460000000001</v>
      </c>
      <c r="P29" s="17">
        <f>SUM(O29)/$O$5</f>
        <v>1.1589961554374272E-2</v>
      </c>
      <c r="Q29" s="20">
        <v>224.102</v>
      </c>
      <c r="R29" s="17">
        <v>607.66800000000001</v>
      </c>
      <c r="S29" s="17">
        <v>663.55600000000004</v>
      </c>
      <c r="T29" s="34">
        <f>Q29*0.5+(R29+S29)*0.1</f>
        <v>239.17340000000002</v>
      </c>
      <c r="U29" s="34">
        <f>SUM(T29)/$T$5</f>
        <v>9.8793303035278526E-3</v>
      </c>
      <c r="V29" s="34">
        <f>(O29+T29)*1.2</f>
        <v>692.57759999999996</v>
      </c>
      <c r="W29" s="34">
        <f>SUM(V29)/$V$5</f>
        <v>1.0511748525866463E-2</v>
      </c>
      <c r="X29" s="34">
        <f>Y29/$Y$5</f>
        <v>8.0221697555948289E-3</v>
      </c>
      <c r="Y29" s="18">
        <v>270.26</v>
      </c>
      <c r="Z29" s="34">
        <f>AA29/$AA$5</f>
        <v>5.3260377225732985E-3</v>
      </c>
      <c r="AA29" s="19">
        <v>193.78</v>
      </c>
      <c r="AB29" s="28">
        <v>0.6</v>
      </c>
      <c r="AC29" s="29">
        <v>1</v>
      </c>
    </row>
    <row r="30" spans="1:29" ht="20.100000000000001" customHeight="1" x14ac:dyDescent="0.15">
      <c r="A30" s="48"/>
      <c r="B30" s="70"/>
      <c r="C30" s="70" t="s">
        <v>17</v>
      </c>
      <c r="D30" s="59">
        <f t="shared" si="1"/>
        <v>10</v>
      </c>
      <c r="E30" s="55">
        <v>10</v>
      </c>
      <c r="F30" s="15">
        <f t="shared" si="2"/>
        <v>8.5334138300182989</v>
      </c>
      <c r="G30" s="55">
        <v>0</v>
      </c>
      <c r="H30" s="15">
        <f t="shared" si="3"/>
        <v>0</v>
      </c>
      <c r="I30" s="16">
        <f t="shared" si="4"/>
        <v>1.0086565857632131E-2</v>
      </c>
      <c r="J30" s="16">
        <f t="shared" si="5"/>
        <v>3.2720145053751143E-3</v>
      </c>
      <c r="K30" s="16">
        <f t="shared" si="6"/>
        <v>0</v>
      </c>
      <c r="L30" s="16">
        <f t="shared" si="7"/>
        <v>0</v>
      </c>
      <c r="M30" s="20">
        <v>47.691000000000003</v>
      </c>
      <c r="N30" s="20">
        <v>97.182999999999993</v>
      </c>
      <c r="O30" s="17">
        <f>M30*1.5+N30*1.2</f>
        <v>188.15609999999998</v>
      </c>
      <c r="P30" s="17">
        <f>SUM(O30)/$O$5</f>
        <v>6.4523250126518397E-3</v>
      </c>
      <c r="Q30" s="20">
        <v>195.37</v>
      </c>
      <c r="R30" s="17">
        <v>473.30500000000001</v>
      </c>
      <c r="S30" s="17">
        <v>452.47300000000001</v>
      </c>
      <c r="T30" s="34">
        <f>Q30*0.5+(R30+S30)*0.1</f>
        <v>190.26280000000003</v>
      </c>
      <c r="U30" s="34">
        <f>SUM(T30)/$T$5</f>
        <v>7.8590221390591897E-3</v>
      </c>
      <c r="V30" s="34">
        <f>(O30+T30)*1.5</f>
        <v>567.62834999999995</v>
      </c>
      <c r="W30" s="34">
        <f>SUM(V30)/$V$5</f>
        <v>8.6153038610438919E-3</v>
      </c>
      <c r="X30" s="34">
        <f>Y30/$Y$5</f>
        <v>2.5527514207842644E-3</v>
      </c>
      <c r="Y30" s="34">
        <v>86</v>
      </c>
      <c r="Z30" s="34">
        <v>0</v>
      </c>
      <c r="AA30" s="19">
        <v>3</v>
      </c>
      <c r="AB30" s="28">
        <v>0.5</v>
      </c>
      <c r="AC30" s="29">
        <v>0</v>
      </c>
    </row>
    <row r="31" spans="1:29" ht="20.100000000000001" customHeight="1" x14ac:dyDescent="0.15">
      <c r="A31" s="61">
        <v>7</v>
      </c>
      <c r="B31" s="62" t="s">
        <v>62</v>
      </c>
      <c r="C31" s="62"/>
      <c r="D31" s="59">
        <f t="shared" si="1"/>
        <v>100</v>
      </c>
      <c r="E31" s="54">
        <v>40</v>
      </c>
      <c r="F31" s="15">
        <f t="shared" si="2"/>
        <v>45.061651290680501</v>
      </c>
      <c r="G31" s="54">
        <v>60</v>
      </c>
      <c r="H31" s="15">
        <f t="shared" si="3"/>
        <v>55.937985463091238</v>
      </c>
      <c r="I31" s="16">
        <f t="shared" si="4"/>
        <v>5.3263245220597506E-2</v>
      </c>
      <c r="J31" s="16">
        <f t="shared" si="5"/>
        <v>1.7278240525567676E-2</v>
      </c>
      <c r="K31" s="16">
        <f t="shared" si="6"/>
        <v>9.3653230361824269E-2</v>
      </c>
      <c r="L31" s="16">
        <f t="shared" si="7"/>
        <v>2.4320863244822279E-2</v>
      </c>
      <c r="M31" s="20">
        <v>424.68299999999999</v>
      </c>
      <c r="N31" s="20">
        <v>1475.2249999999999</v>
      </c>
      <c r="O31" s="17">
        <f t="shared" si="8"/>
        <v>2407.2945</v>
      </c>
      <c r="P31" s="17">
        <f>SUM(O31)/$O$5</f>
        <v>8.2551915750641122E-2</v>
      </c>
      <c r="Q31" s="20">
        <v>1263.4079999999999</v>
      </c>
      <c r="R31" s="17">
        <v>1631.2049999999999</v>
      </c>
      <c r="S31" s="17">
        <v>4436.82</v>
      </c>
      <c r="T31" s="34">
        <f t="shared" si="9"/>
        <v>1238.5065</v>
      </c>
      <c r="U31" s="34">
        <f>SUM(T31)/$T$5</f>
        <v>5.1157924738144865E-2</v>
      </c>
      <c r="V31" s="34">
        <f>(O31+T31)*1</f>
        <v>3645.8009999999999</v>
      </c>
      <c r="W31" s="34">
        <f>SUM(V31)/$V$5</f>
        <v>5.5334944831239817E-2</v>
      </c>
      <c r="X31" s="34">
        <f>Y31/$Y$5</f>
        <v>1.9828645076722055E-2</v>
      </c>
      <c r="Y31" s="18">
        <v>668.01</v>
      </c>
      <c r="Z31" s="34">
        <f>AA31/$AA$5</f>
        <v>6.3820103167587988E-2</v>
      </c>
      <c r="AA31" s="21">
        <v>2322</v>
      </c>
      <c r="AB31" s="28">
        <v>0.3</v>
      </c>
      <c r="AC31" s="29">
        <v>0.4</v>
      </c>
    </row>
    <row r="32" spans="1:29" ht="20.100000000000001" customHeight="1" x14ac:dyDescent="0.15">
      <c r="A32" s="61">
        <v>8</v>
      </c>
      <c r="B32" s="62" t="s">
        <v>63</v>
      </c>
      <c r="C32" s="62"/>
      <c r="D32" s="59">
        <f t="shared" si="1"/>
        <v>477.8</v>
      </c>
      <c r="E32" s="56">
        <f>SUM(E33:E34)</f>
        <v>237.8</v>
      </c>
      <c r="F32" s="15"/>
      <c r="G32" s="54">
        <f>SUM(G33:G34)</f>
        <v>240</v>
      </c>
      <c r="H32" s="15"/>
      <c r="I32" s="16"/>
      <c r="J32" s="16"/>
      <c r="K32" s="16"/>
      <c r="L32" s="16"/>
      <c r="M32" s="17"/>
      <c r="N32" s="17"/>
      <c r="O32" s="17"/>
      <c r="P32" s="17"/>
      <c r="Q32" s="17"/>
      <c r="R32" s="17"/>
      <c r="S32" s="17"/>
      <c r="T32" s="34"/>
      <c r="U32" s="34"/>
      <c r="V32" s="34"/>
      <c r="W32" s="34"/>
      <c r="X32" s="34"/>
      <c r="Y32" s="18"/>
      <c r="Z32" s="34"/>
      <c r="AA32" s="19"/>
      <c r="AB32" s="28"/>
      <c r="AC32" s="29"/>
    </row>
    <row r="33" spans="1:29" ht="20.100000000000001" customHeight="1" x14ac:dyDescent="0.15">
      <c r="A33" s="48"/>
      <c r="B33" s="70"/>
      <c r="C33" s="70" t="s">
        <v>28</v>
      </c>
      <c r="D33" s="59">
        <f t="shared" si="1"/>
        <v>367.8</v>
      </c>
      <c r="E33" s="57">
        <v>157.80000000000001</v>
      </c>
      <c r="F33" s="15">
        <f t="shared" si="2"/>
        <v>157.69592259360761</v>
      </c>
      <c r="G33" s="55">
        <v>210</v>
      </c>
      <c r="H33" s="15">
        <f t="shared" si="3"/>
        <v>211.4679045700249</v>
      </c>
      <c r="I33" s="16">
        <f t="shared" si="4"/>
        <v>0.1863978872236495</v>
      </c>
      <c r="J33" s="16">
        <f t="shared" si="5"/>
        <v>6.0466227988346472E-2</v>
      </c>
      <c r="K33" s="16">
        <f t="shared" si="6"/>
        <v>0.35404657884750307</v>
      </c>
      <c r="L33" s="16">
        <f t="shared" si="7"/>
        <v>9.1942567204358658E-2</v>
      </c>
      <c r="M33" s="17">
        <v>253.73699999999999</v>
      </c>
      <c r="N33" s="17">
        <v>389.96899999999999</v>
      </c>
      <c r="O33" s="17">
        <f>M33*1.5+N33*1.2</f>
        <v>848.56829999999991</v>
      </c>
      <c r="P33" s="17">
        <f>SUM(O33)/$O$5</f>
        <v>2.9099447039099183E-2</v>
      </c>
      <c r="Q33" s="17">
        <v>633.01199999999994</v>
      </c>
      <c r="R33" s="17">
        <v>1334.1790000000001</v>
      </c>
      <c r="S33" s="17">
        <v>3226.442</v>
      </c>
      <c r="T33" s="34">
        <f>Q33*0.5+(R33+S33)*0.1</f>
        <v>772.56809999999996</v>
      </c>
      <c r="U33" s="34">
        <f>SUM(T33)/$T$5</f>
        <v>3.1911807257282522E-2</v>
      </c>
      <c r="V33" s="34">
        <f>(O33+T33)*1.2</f>
        <v>1945.3636799999997</v>
      </c>
      <c r="W33" s="34">
        <f>SUM(V33)/$V$5</f>
        <v>2.9526184207393013E-2</v>
      </c>
      <c r="X33" s="34">
        <f>Y33/$Y$5</f>
        <v>4.8352970719941206E-2</v>
      </c>
      <c r="Y33" s="18">
        <v>1628.97</v>
      </c>
      <c r="Z33" s="34">
        <f>AA33/$AA$5</f>
        <v>5.7792648979538001E-2</v>
      </c>
      <c r="AA33" s="19">
        <v>2102.6999999999998</v>
      </c>
      <c r="AB33" s="28">
        <v>1.2</v>
      </c>
      <c r="AC33" s="29">
        <v>2</v>
      </c>
    </row>
    <row r="34" spans="1:29" ht="20.100000000000001" customHeight="1" x14ac:dyDescent="0.15">
      <c r="A34" s="48"/>
      <c r="B34" s="70"/>
      <c r="C34" s="70" t="s">
        <v>21</v>
      </c>
      <c r="D34" s="59">
        <f t="shared" si="1"/>
        <v>110</v>
      </c>
      <c r="E34" s="55">
        <v>80</v>
      </c>
      <c r="F34" s="15">
        <f t="shared" si="2"/>
        <v>84.007043860453152</v>
      </c>
      <c r="G34" s="55">
        <v>30</v>
      </c>
      <c r="H34" s="15">
        <f t="shared" si="3"/>
        <v>33.96769547235607</v>
      </c>
      <c r="I34" s="16">
        <f t="shared" si="4"/>
        <v>9.9297021951838788E-2</v>
      </c>
      <c r="J34" s="16">
        <f t="shared" si="5"/>
        <v>3.2211289823793385E-2</v>
      </c>
      <c r="K34" s="16">
        <f t="shared" si="6"/>
        <v>5.6869842247569913E-2</v>
      </c>
      <c r="L34" s="16">
        <f t="shared" si="7"/>
        <v>1.4768563248850465E-2</v>
      </c>
      <c r="M34" s="20">
        <v>184.297</v>
      </c>
      <c r="N34" s="20">
        <v>303.49</v>
      </c>
      <c r="O34" s="17">
        <f>M34*1.5+N34*1.2</f>
        <v>640.63349999999991</v>
      </c>
      <c r="P34" s="17">
        <f>SUM(O34)/$O$5</f>
        <v>2.1968862853729919E-2</v>
      </c>
      <c r="Q34" s="20">
        <v>702.69499999999994</v>
      </c>
      <c r="R34" s="17">
        <v>973.99199999999996</v>
      </c>
      <c r="S34" s="17">
        <v>2451.27</v>
      </c>
      <c r="T34" s="34">
        <f>Q34*0.5+(R34+S34)*0.1</f>
        <v>693.87369999999999</v>
      </c>
      <c r="U34" s="34">
        <f>SUM(T34)/$T$5</f>
        <v>2.8661245235594733E-2</v>
      </c>
      <c r="V34" s="34">
        <f>(O34+T34)*1.2</f>
        <v>1601.4086399999999</v>
      </c>
      <c r="W34" s="34">
        <f>SUM(V34)/$V$5</f>
        <v>2.4305731099056361E-2</v>
      </c>
      <c r="X34" s="34">
        <f>Y34/$Y$5</f>
        <v>2.6511213999526256E-2</v>
      </c>
      <c r="Y34" s="18">
        <v>893.14</v>
      </c>
      <c r="Z34" s="34">
        <f>AA34/$AA$5</f>
        <v>1.9514329564594085E-3</v>
      </c>
      <c r="AA34" s="19">
        <v>71</v>
      </c>
      <c r="AB34" s="28">
        <v>1</v>
      </c>
      <c r="AC34" s="29">
        <v>1</v>
      </c>
    </row>
    <row r="35" spans="1:29" ht="20.100000000000001" customHeight="1" x14ac:dyDescent="0.15">
      <c r="A35" s="61">
        <v>9</v>
      </c>
      <c r="B35" s="62" t="s">
        <v>64</v>
      </c>
      <c r="C35" s="62"/>
      <c r="D35" s="59">
        <f t="shared" si="1"/>
        <v>830</v>
      </c>
      <c r="E35" s="54">
        <f>SUM(E36:E39)</f>
        <v>500</v>
      </c>
      <c r="F35" s="15"/>
      <c r="G35" s="54">
        <f>SUM(G36:G39)</f>
        <v>330</v>
      </c>
      <c r="H35" s="15"/>
      <c r="I35" s="16"/>
      <c r="J35" s="16"/>
      <c r="K35" s="16"/>
      <c r="L35" s="16"/>
      <c r="M35" s="17"/>
      <c r="N35" s="17"/>
      <c r="O35" s="17"/>
      <c r="P35" s="17"/>
      <c r="Q35" s="17"/>
      <c r="R35" s="17"/>
      <c r="S35" s="17"/>
      <c r="T35" s="34"/>
      <c r="U35" s="34"/>
      <c r="V35" s="34"/>
      <c r="W35" s="34"/>
      <c r="X35" s="34"/>
      <c r="Y35" s="18"/>
      <c r="Z35" s="34"/>
      <c r="AA35" s="19"/>
      <c r="AB35" s="28"/>
      <c r="AC35" s="29"/>
    </row>
    <row r="36" spans="1:29" ht="20.100000000000001" customHeight="1" x14ac:dyDescent="0.15">
      <c r="A36" s="48"/>
      <c r="B36" s="70"/>
      <c r="C36" s="70" t="s">
        <v>29</v>
      </c>
      <c r="D36" s="59">
        <f t="shared" si="1"/>
        <v>630</v>
      </c>
      <c r="E36" s="55">
        <v>430</v>
      </c>
      <c r="F36" s="15">
        <f t="shared" si="2"/>
        <v>444.62725833426742</v>
      </c>
      <c r="G36" s="55">
        <v>200</v>
      </c>
      <c r="H36" s="15">
        <f t="shared" si="3"/>
        <v>195.11757198152034</v>
      </c>
      <c r="I36" s="16">
        <f t="shared" si="4"/>
        <v>0.52555310367238883</v>
      </c>
      <c r="J36" s="16">
        <f t="shared" si="5"/>
        <v>0.17048591193798598</v>
      </c>
      <c r="K36" s="16">
        <f t="shared" si="6"/>
        <v>0.32667230979353418</v>
      </c>
      <c r="L36" s="16">
        <f t="shared" si="7"/>
        <v>8.4833726948487106E-2</v>
      </c>
      <c r="M36" s="17">
        <v>143.965</v>
      </c>
      <c r="N36" s="17">
        <v>576.029</v>
      </c>
      <c r="O36" s="17">
        <f t="shared" si="8"/>
        <v>907.18229999999994</v>
      </c>
      <c r="P36" s="17">
        <f>SUM(O36)/$O$5</f>
        <v>3.1109462012260166E-2</v>
      </c>
      <c r="Q36" s="17">
        <v>1056.2170000000001</v>
      </c>
      <c r="R36" s="17">
        <v>2340.4720000000002</v>
      </c>
      <c r="S36" s="17">
        <v>4367.7179999999998</v>
      </c>
      <c r="T36" s="34">
        <f t="shared" si="9"/>
        <v>1198.9275000000002</v>
      </c>
      <c r="U36" s="34">
        <f>SUM(T36)/$T$5</f>
        <v>4.9523068963701192E-2</v>
      </c>
      <c r="V36" s="34">
        <f>(O36+T36)*1.2</f>
        <v>2527.33176</v>
      </c>
      <c r="W36" s="34">
        <f>SUM(V36)/$V$5</f>
        <v>3.835913246769098E-2</v>
      </c>
      <c r="X36" s="34">
        <f>Y36/$Y$5</f>
        <v>0.15296323978587759</v>
      </c>
      <c r="Y36" s="34">
        <v>5153.2</v>
      </c>
      <c r="Z36" s="34">
        <f>AA36/$AA$5</f>
        <v>5.2138990400049268E-2</v>
      </c>
      <c r="AA36" s="19">
        <v>1897</v>
      </c>
      <c r="AB36" s="28">
        <v>1.4</v>
      </c>
      <c r="AC36" s="29">
        <v>1.7</v>
      </c>
    </row>
    <row r="37" spans="1:29" ht="20.100000000000001" customHeight="1" x14ac:dyDescent="0.15">
      <c r="A37" s="48"/>
      <c r="B37" s="70"/>
      <c r="C37" s="70" t="s">
        <v>5</v>
      </c>
      <c r="D37" s="59">
        <f t="shared" si="1"/>
        <v>130</v>
      </c>
      <c r="E37" s="55">
        <v>0</v>
      </c>
      <c r="F37" s="15">
        <f t="shared" si="2"/>
        <v>0</v>
      </c>
      <c r="G37" s="55">
        <v>130</v>
      </c>
      <c r="H37" s="15">
        <f t="shared" si="3"/>
        <v>125.86391406459374</v>
      </c>
      <c r="I37" s="16">
        <f t="shared" si="4"/>
        <v>0</v>
      </c>
      <c r="J37" s="16">
        <f t="shared" si="5"/>
        <v>0</v>
      </c>
      <c r="K37" s="16">
        <f t="shared" si="6"/>
        <v>0.21072553901516294</v>
      </c>
      <c r="L37" s="16">
        <f t="shared" si="7"/>
        <v>5.4723440897649453E-2</v>
      </c>
      <c r="M37" s="20">
        <v>82.811999999999998</v>
      </c>
      <c r="N37" s="20">
        <v>296.096</v>
      </c>
      <c r="O37" s="17">
        <f>M37*1.5+N37*1.2</f>
        <v>479.53319999999997</v>
      </c>
      <c r="P37" s="17">
        <f>SUM(O37)/$O$5</f>
        <v>1.6444346267577705E-2</v>
      </c>
      <c r="Q37" s="20">
        <v>605.66700000000003</v>
      </c>
      <c r="R37" s="17">
        <v>1280.9680000000001</v>
      </c>
      <c r="S37" s="17">
        <v>2731.4810000000002</v>
      </c>
      <c r="T37" s="34">
        <f>Q37*0.5+(R37+S37)*0.1</f>
        <v>704.0784000000001</v>
      </c>
      <c r="U37" s="34">
        <f>SUM(T37)/$T$5</f>
        <v>2.9082762017763702E-2</v>
      </c>
      <c r="V37" s="34">
        <f>(O37+T37)*1.2</f>
        <v>1420.3339200000003</v>
      </c>
      <c r="W37" s="34">
        <f>SUM(V37)/$V$5</f>
        <v>2.1557429795301116E-2</v>
      </c>
      <c r="X37" s="34">
        <f>Y37/$Y$5</f>
        <v>8.3112836955766755E-4</v>
      </c>
      <c r="Y37" s="34">
        <v>28</v>
      </c>
      <c r="Z37" s="34">
        <f>AA37/$AA$5</f>
        <v>2.7361288847258327E-2</v>
      </c>
      <c r="AA37" s="19">
        <v>995.5</v>
      </c>
      <c r="AB37" s="28">
        <v>0</v>
      </c>
      <c r="AC37" s="29">
        <v>2</v>
      </c>
    </row>
    <row r="38" spans="1:29" ht="20.100000000000001" customHeight="1" x14ac:dyDescent="0.15">
      <c r="A38" s="48"/>
      <c r="B38" s="70"/>
      <c r="C38" s="70" t="s">
        <v>4</v>
      </c>
      <c r="D38" s="59">
        <f t="shared" si="1"/>
        <v>40</v>
      </c>
      <c r="E38" s="55">
        <v>40</v>
      </c>
      <c r="F38" s="15">
        <f t="shared" si="2"/>
        <v>38.855976094406074</v>
      </c>
      <c r="G38" s="55">
        <v>0</v>
      </c>
      <c r="H38" s="15">
        <f t="shared" si="3"/>
        <v>0</v>
      </c>
      <c r="I38" s="16">
        <f t="shared" si="4"/>
        <v>4.5928085716424955E-2</v>
      </c>
      <c r="J38" s="16">
        <f t="shared" si="5"/>
        <v>1.489876383987963E-2</v>
      </c>
      <c r="K38" s="16">
        <f t="shared" si="6"/>
        <v>0</v>
      </c>
      <c r="L38" s="16">
        <f t="shared" si="7"/>
        <v>0</v>
      </c>
      <c r="M38" s="20">
        <v>123.59299999999999</v>
      </c>
      <c r="N38" s="20">
        <v>265.505</v>
      </c>
      <c r="O38" s="17">
        <f>M38*1.5+N38*1.2</f>
        <v>503.99549999999999</v>
      </c>
      <c r="P38" s="17">
        <f>SUM(O38)/$O$5</f>
        <v>1.7283217344077447E-2</v>
      </c>
      <c r="Q38" s="20">
        <v>577.24299999999994</v>
      </c>
      <c r="R38" s="17">
        <v>1745.5809999999999</v>
      </c>
      <c r="S38" s="17">
        <v>2403.4360000000001</v>
      </c>
      <c r="T38" s="34">
        <f>Q38*0.5+(R38+S38)*0.1</f>
        <v>703.52319999999997</v>
      </c>
      <c r="U38" s="34">
        <f>SUM(T38)/$T$5</f>
        <v>2.9059828848002685E-2</v>
      </c>
      <c r="V38" s="34">
        <f>(O38+T38)*1.2</f>
        <v>1449.02244</v>
      </c>
      <c r="W38" s="34">
        <f>SUM(V38)/$V$5</f>
        <v>2.1992856103947668E-2</v>
      </c>
      <c r="X38" s="34">
        <f>Y38/$Y$5</f>
        <v>9.067016848753039E-3</v>
      </c>
      <c r="Y38" s="18">
        <v>305.45999999999998</v>
      </c>
      <c r="Z38" s="34">
        <f>AA38/$AA$5</f>
        <v>1.2917936472336931E-4</v>
      </c>
      <c r="AA38" s="19">
        <v>4.7</v>
      </c>
      <c r="AB38" s="28">
        <v>0.8</v>
      </c>
      <c r="AC38" s="29">
        <v>0</v>
      </c>
    </row>
    <row r="39" spans="1:29" ht="20.100000000000001" customHeight="1" x14ac:dyDescent="0.15">
      <c r="A39" s="48"/>
      <c r="B39" s="70"/>
      <c r="C39" s="70" t="s">
        <v>3</v>
      </c>
      <c r="D39" s="59">
        <f t="shared" si="1"/>
        <v>30</v>
      </c>
      <c r="E39" s="55">
        <v>30</v>
      </c>
      <c r="F39" s="15">
        <f t="shared" si="2"/>
        <v>32.67132510307237</v>
      </c>
      <c r="G39" s="55">
        <v>0</v>
      </c>
      <c r="H39" s="15">
        <f t="shared" si="3"/>
        <v>0</v>
      </c>
      <c r="I39" s="16">
        <f t="shared" si="4"/>
        <v>3.8617776996705516E-2</v>
      </c>
      <c r="J39" s="16">
        <f t="shared" si="5"/>
        <v>1.25273485824664E-2</v>
      </c>
      <c r="K39" s="16">
        <f t="shared" si="6"/>
        <v>0</v>
      </c>
      <c r="L39" s="16">
        <f t="shared" si="7"/>
        <v>0</v>
      </c>
      <c r="M39" s="20">
        <v>34.317999999999998</v>
      </c>
      <c r="N39" s="20">
        <v>231.755</v>
      </c>
      <c r="O39" s="17">
        <f t="shared" si="8"/>
        <v>329.58299999999997</v>
      </c>
      <c r="P39" s="17">
        <f>SUM(O39)/$O$5</f>
        <v>1.1302193416237004E-2</v>
      </c>
      <c r="Q39" s="20">
        <v>392.19499999999999</v>
      </c>
      <c r="R39" s="17">
        <v>924.93399999999997</v>
      </c>
      <c r="S39" s="17">
        <v>1884.546</v>
      </c>
      <c r="T39" s="34">
        <f t="shared" si="9"/>
        <v>477.04550000000006</v>
      </c>
      <c r="U39" s="34">
        <f>SUM(T39)/$T$5</f>
        <v>1.9704908925121258E-2</v>
      </c>
      <c r="V39" s="34">
        <f>(O39+T39)*1.2</f>
        <v>967.95420000000001</v>
      </c>
      <c r="W39" s="34">
        <f>SUM(V39)/$V$5</f>
        <v>1.4691337310008658E-2</v>
      </c>
      <c r="X39" s="34">
        <f>Y39/$Y$5</f>
        <v>6.312123135229929E-3</v>
      </c>
      <c r="Y39" s="18">
        <v>212.65</v>
      </c>
      <c r="Z39" s="34">
        <f>AA39/$AA$5</f>
        <v>0</v>
      </c>
      <c r="AA39" s="19">
        <v>0</v>
      </c>
      <c r="AB39" s="28">
        <v>1</v>
      </c>
      <c r="AC39" s="29">
        <v>0</v>
      </c>
    </row>
    <row r="40" spans="1:29" ht="20.100000000000001" customHeight="1" x14ac:dyDescent="0.15">
      <c r="A40" s="61">
        <v>10</v>
      </c>
      <c r="B40" s="62" t="s">
        <v>65</v>
      </c>
      <c r="C40" s="62"/>
      <c r="D40" s="59">
        <f t="shared" si="1"/>
        <v>700</v>
      </c>
      <c r="E40" s="54">
        <f>SUM(E41:E43)</f>
        <v>260</v>
      </c>
      <c r="F40" s="15"/>
      <c r="G40" s="54">
        <f>SUM(G41:G43)</f>
        <v>440</v>
      </c>
      <c r="H40" s="15"/>
      <c r="I40" s="16"/>
      <c r="J40" s="16"/>
      <c r="K40" s="16"/>
      <c r="L40" s="16"/>
      <c r="M40" s="17"/>
      <c r="N40" s="17"/>
      <c r="O40" s="17"/>
      <c r="P40" s="17"/>
      <c r="Q40" s="17"/>
      <c r="R40" s="17"/>
      <c r="S40" s="17"/>
      <c r="T40" s="34"/>
      <c r="U40" s="34"/>
      <c r="V40" s="34"/>
      <c r="W40" s="34"/>
      <c r="X40" s="34"/>
      <c r="Y40" s="18"/>
      <c r="Z40" s="34"/>
      <c r="AA40" s="19"/>
      <c r="AB40" s="28"/>
      <c r="AC40" s="29"/>
    </row>
    <row r="41" spans="1:29" ht="20.100000000000001" customHeight="1" x14ac:dyDescent="0.15">
      <c r="A41" s="48"/>
      <c r="B41" s="70"/>
      <c r="C41" s="70" t="s">
        <v>29</v>
      </c>
      <c r="D41" s="59">
        <f t="shared" si="1"/>
        <v>390</v>
      </c>
      <c r="E41" s="55">
        <v>170</v>
      </c>
      <c r="F41" s="15">
        <f t="shared" si="2"/>
        <v>167.38639913868175</v>
      </c>
      <c r="G41" s="55">
        <v>220</v>
      </c>
      <c r="H41" s="15">
        <f t="shared" si="3"/>
        <v>218.87122726283221</v>
      </c>
      <c r="I41" s="16">
        <f t="shared" si="4"/>
        <v>0.19785211079826318</v>
      </c>
      <c r="J41" s="16">
        <f t="shared" si="5"/>
        <v>6.4181901510230732E-2</v>
      </c>
      <c r="K41" s="16">
        <f t="shared" si="6"/>
        <v>0.36644146721991117</v>
      </c>
      <c r="L41" s="16">
        <f t="shared" si="7"/>
        <v>9.5161403157753136E-2</v>
      </c>
      <c r="M41" s="17">
        <v>329.86600000000004</v>
      </c>
      <c r="N41" s="17">
        <v>691</v>
      </c>
      <c r="O41" s="17">
        <f t="shared" si="8"/>
        <v>1323.999</v>
      </c>
      <c r="P41" s="17">
        <f>SUM(O41)/$O$5</f>
        <v>4.5403108718909589E-2</v>
      </c>
      <c r="Q41" s="17">
        <v>1132.865</v>
      </c>
      <c r="R41" s="17">
        <v>3328.8109999999997</v>
      </c>
      <c r="S41" s="17">
        <v>3736.4409999999998</v>
      </c>
      <c r="T41" s="34">
        <f t="shared" si="9"/>
        <v>1272.9576999999999</v>
      </c>
      <c r="U41" s="34">
        <f>SUM(T41)/$T$5</f>
        <v>5.2580970880202881E-2</v>
      </c>
      <c r="V41" s="34">
        <f>(O41+T41)*1.2</f>
        <v>3116.3480399999994</v>
      </c>
      <c r="W41" s="34">
        <f>SUM(V41)/$V$5</f>
        <v>4.7299056330376316E-2</v>
      </c>
      <c r="X41" s="34">
        <f>Y41/$Y$5</f>
        <v>3.6087296974633372E-2</v>
      </c>
      <c r="Y41" s="18">
        <v>1215.75</v>
      </c>
      <c r="Z41" s="34">
        <f>AA41/$AA$5</f>
        <v>7.2207142134680782E-2</v>
      </c>
      <c r="AA41" s="19">
        <v>2627.15</v>
      </c>
      <c r="AB41" s="28">
        <v>1.2</v>
      </c>
      <c r="AC41" s="29">
        <v>1.5</v>
      </c>
    </row>
    <row r="42" spans="1:29" ht="20.100000000000001" customHeight="1" x14ac:dyDescent="0.15">
      <c r="A42" s="48"/>
      <c r="B42" s="70"/>
      <c r="C42" s="70" t="s">
        <v>6</v>
      </c>
      <c r="D42" s="59">
        <f t="shared" si="1"/>
        <v>290</v>
      </c>
      <c r="E42" s="55">
        <v>90</v>
      </c>
      <c r="F42" s="15">
        <f t="shared" si="2"/>
        <v>89.315730848651469</v>
      </c>
      <c r="G42" s="55">
        <v>200</v>
      </c>
      <c r="H42" s="15">
        <f t="shared" si="3"/>
        <v>209.41616163459122</v>
      </c>
      <c r="I42" s="16">
        <f t="shared" si="4"/>
        <v>0.10557193396133902</v>
      </c>
      <c r="J42" s="16">
        <f t="shared" si="5"/>
        <v>3.4246829313133234E-2</v>
      </c>
      <c r="K42" s="16">
        <f t="shared" si="6"/>
        <v>0.35061148278201815</v>
      </c>
      <c r="L42" s="16">
        <f t="shared" si="7"/>
        <v>9.1050505058517917E-2</v>
      </c>
      <c r="M42" s="20">
        <v>88.537000000000006</v>
      </c>
      <c r="N42" s="20">
        <v>515.41499999999996</v>
      </c>
      <c r="O42" s="17">
        <f t="shared" si="8"/>
        <v>751.30349999999999</v>
      </c>
      <c r="P42" s="17">
        <f>SUM(O42)/$O$5</f>
        <v>2.5764003214048717E-2</v>
      </c>
      <c r="Q42" s="20">
        <v>771.88599999999997</v>
      </c>
      <c r="R42" s="17">
        <v>1702.721</v>
      </c>
      <c r="S42" s="17">
        <v>2038.0329999999999</v>
      </c>
      <c r="T42" s="34">
        <f t="shared" si="9"/>
        <v>760.01839999999993</v>
      </c>
      <c r="U42" s="34">
        <f>SUM(T42)/$T$5</f>
        <v>3.1393427573295156E-2</v>
      </c>
      <c r="V42" s="34">
        <f>(O42+T42)*1.2</f>
        <v>1813.5862799999998</v>
      </c>
      <c r="W42" s="34">
        <f>SUM(V42)/$V$5</f>
        <v>2.752610379735302E-2</v>
      </c>
      <c r="X42" s="34">
        <f>Y42/$Y$5</f>
        <v>2.1342189203998677E-2</v>
      </c>
      <c r="Y42" s="34">
        <v>719</v>
      </c>
      <c r="Z42" s="34">
        <f>AA42/$AA$5</f>
        <v>5.8193105010180449E-2</v>
      </c>
      <c r="AA42" s="19">
        <v>2117.27</v>
      </c>
      <c r="AB42" s="28">
        <v>1.1000000000000001</v>
      </c>
      <c r="AC42" s="29">
        <v>2</v>
      </c>
    </row>
    <row r="43" spans="1:29" ht="20.100000000000001" customHeight="1" x14ac:dyDescent="0.15">
      <c r="A43" s="48"/>
      <c r="B43" s="70"/>
      <c r="C43" s="70" t="s">
        <v>7</v>
      </c>
      <c r="D43" s="59">
        <f t="shared" si="1"/>
        <v>20</v>
      </c>
      <c r="E43" s="55">
        <v>0</v>
      </c>
      <c r="F43" s="15">
        <f t="shared" si="2"/>
        <v>0</v>
      </c>
      <c r="G43" s="55">
        <v>20</v>
      </c>
      <c r="H43" s="15">
        <f t="shared" si="3"/>
        <v>22.441926353833288</v>
      </c>
      <c r="I43" s="16">
        <f t="shared" si="4"/>
        <v>0</v>
      </c>
      <c r="J43" s="16">
        <f t="shared" si="5"/>
        <v>0</v>
      </c>
      <c r="K43" s="16">
        <f t="shared" si="6"/>
        <v>3.7573017354466894E-2</v>
      </c>
      <c r="L43" s="16">
        <f t="shared" si="7"/>
        <v>9.757359284275343E-3</v>
      </c>
      <c r="M43" s="20">
        <v>85.811000000000007</v>
      </c>
      <c r="N43" s="20">
        <v>284.74699999999996</v>
      </c>
      <c r="O43" s="17">
        <f t="shared" si="8"/>
        <v>470.41289999999992</v>
      </c>
      <c r="P43" s="17">
        <f>SUM(O43)/$O$5</f>
        <v>1.613158925458217E-2</v>
      </c>
      <c r="Q43" s="20">
        <v>645.78700000000003</v>
      </c>
      <c r="R43" s="17">
        <v>1330.864</v>
      </c>
      <c r="S43" s="17">
        <v>2012.681</v>
      </c>
      <c r="T43" s="34">
        <f t="shared" si="9"/>
        <v>657.24800000000005</v>
      </c>
      <c r="U43" s="34">
        <f>SUM(T43)/$T$5</f>
        <v>2.7148378888844134E-2</v>
      </c>
      <c r="V43" s="34">
        <f>(O43+T43)*1.2</f>
        <v>1353.1930799999998</v>
      </c>
      <c r="W43" s="34">
        <f>SUM(V43)/$V$5</f>
        <v>2.0538384960620583E-2</v>
      </c>
      <c r="X43" s="34">
        <f>Y43/$Y$5</f>
        <v>0</v>
      </c>
      <c r="Y43" s="34">
        <v>0</v>
      </c>
      <c r="Z43" s="34">
        <f>AA43/$AA$5</f>
        <v>2.9944876141725714E-3</v>
      </c>
      <c r="AA43" s="19">
        <v>108.95</v>
      </c>
      <c r="AB43" s="28">
        <v>0</v>
      </c>
      <c r="AC43" s="29">
        <v>0.7</v>
      </c>
    </row>
    <row r="44" spans="1:29" ht="20.100000000000001" customHeight="1" x14ac:dyDescent="0.15">
      <c r="A44" s="61">
        <v>11</v>
      </c>
      <c r="B44" s="62" t="s">
        <v>66</v>
      </c>
      <c r="C44" s="62"/>
      <c r="D44" s="59">
        <f t="shared" si="1"/>
        <v>100</v>
      </c>
      <c r="E44" s="54">
        <f>SUM(E45:E48)</f>
        <v>80</v>
      </c>
      <c r="F44" s="15"/>
      <c r="G44" s="54">
        <f>SUM(G45:G48)</f>
        <v>20</v>
      </c>
      <c r="H44" s="15"/>
      <c r="I44" s="16"/>
      <c r="J44" s="16"/>
      <c r="K44" s="16"/>
      <c r="L44" s="16"/>
      <c r="M44" s="17"/>
      <c r="N44" s="17"/>
      <c r="O44" s="17"/>
      <c r="P44" s="17"/>
      <c r="Q44" s="17"/>
      <c r="R44" s="17"/>
      <c r="S44" s="17"/>
      <c r="T44" s="34"/>
      <c r="U44" s="34"/>
      <c r="V44" s="34"/>
      <c r="W44" s="34"/>
      <c r="X44" s="34"/>
      <c r="Y44" s="34"/>
      <c r="Z44" s="34"/>
      <c r="AA44" s="19"/>
      <c r="AB44" s="28"/>
      <c r="AC44" s="29"/>
    </row>
    <row r="45" spans="1:29" ht="20.100000000000001" customHeight="1" x14ac:dyDescent="0.15">
      <c r="A45" s="48"/>
      <c r="B45" s="70"/>
      <c r="C45" s="70" t="s">
        <v>29</v>
      </c>
      <c r="D45" s="59">
        <f t="shared" si="1"/>
        <v>20</v>
      </c>
      <c r="E45" s="55">
        <v>20</v>
      </c>
      <c r="F45" s="15">
        <f t="shared" si="2"/>
        <v>19.749267828055153</v>
      </c>
      <c r="G45" s="55">
        <v>0</v>
      </c>
      <c r="H45" s="15">
        <f t="shared" si="3"/>
        <v>0</v>
      </c>
      <c r="I45" s="16">
        <f t="shared" si="4"/>
        <v>2.3343798221404977E-2</v>
      </c>
      <c r="J45" s="16">
        <f t="shared" si="5"/>
        <v>7.5725720199597982E-3</v>
      </c>
      <c r="K45" s="16">
        <f t="shared" si="6"/>
        <v>0</v>
      </c>
      <c r="L45" s="16">
        <f t="shared" si="7"/>
        <v>0</v>
      </c>
      <c r="M45" s="17">
        <v>162.55500000000001</v>
      </c>
      <c r="N45" s="17">
        <v>447.54300000000001</v>
      </c>
      <c r="O45" s="17">
        <f t="shared" si="8"/>
        <v>780.88409999999999</v>
      </c>
      <c r="P45" s="17">
        <f>SUM(O45)/$O$5</f>
        <v>2.6778393102387436E-2</v>
      </c>
      <c r="Q45" s="17">
        <v>419.78899999999999</v>
      </c>
      <c r="R45" s="17">
        <v>1910.5780000000002</v>
      </c>
      <c r="S45" s="17">
        <v>1561.0149999999999</v>
      </c>
      <c r="T45" s="34">
        <f t="shared" si="9"/>
        <v>557.05380000000002</v>
      </c>
      <c r="U45" s="34">
        <f>SUM(T45)/$T$5</f>
        <v>2.3009743086126397E-2</v>
      </c>
      <c r="V45" s="34">
        <f>(O45+T45)*1</f>
        <v>1337.9378999999999</v>
      </c>
      <c r="W45" s="34">
        <f>SUM(V45)/$V$5</f>
        <v>2.0306846118075247E-2</v>
      </c>
      <c r="X45" s="34">
        <f>Y45/$Y$5</f>
        <v>5.6371281665248798E-3</v>
      </c>
      <c r="Y45" s="18">
        <v>189.91</v>
      </c>
      <c r="Z45" s="34">
        <f>AA45/$AA$5</f>
        <v>3.0123528454641015E-4</v>
      </c>
      <c r="AA45" s="19">
        <v>10.96</v>
      </c>
      <c r="AB45" s="28">
        <v>0.4</v>
      </c>
      <c r="AC45" s="29">
        <v>0</v>
      </c>
    </row>
    <row r="46" spans="1:29" ht="20.100000000000001" customHeight="1" x14ac:dyDescent="0.15">
      <c r="A46" s="48"/>
      <c r="B46" s="70"/>
      <c r="C46" s="70" t="s">
        <v>10</v>
      </c>
      <c r="D46" s="59">
        <f t="shared" si="1"/>
        <v>10</v>
      </c>
      <c r="E46" s="55">
        <v>0</v>
      </c>
      <c r="F46" s="15">
        <f t="shared" si="2"/>
        <v>0</v>
      </c>
      <c r="G46" s="55">
        <v>10</v>
      </c>
      <c r="H46" s="15">
        <f t="shared" si="3"/>
        <v>9.9681834247804488</v>
      </c>
      <c r="I46" s="16">
        <f t="shared" si="4"/>
        <v>0</v>
      </c>
      <c r="J46" s="16">
        <f t="shared" si="5"/>
        <v>0</v>
      </c>
      <c r="K46" s="16">
        <f t="shared" si="6"/>
        <v>1.6689063269642673E-2</v>
      </c>
      <c r="L46" s="16">
        <f t="shared" si="7"/>
        <v>4.333992793382804E-3</v>
      </c>
      <c r="M46" s="20">
        <v>154.18700000000001</v>
      </c>
      <c r="N46" s="20">
        <v>140.24799999999999</v>
      </c>
      <c r="O46" s="17">
        <f>M46*1.5+N46*1.2</f>
        <v>399.57810000000001</v>
      </c>
      <c r="P46" s="17">
        <f>SUM(O46)/$O$5</f>
        <v>1.3702493669553622E-2</v>
      </c>
      <c r="Q46" s="20">
        <v>297.83199999999999</v>
      </c>
      <c r="R46" s="17">
        <v>690.44600000000003</v>
      </c>
      <c r="S46" s="17">
        <v>662.32899999999995</v>
      </c>
      <c r="T46" s="34">
        <f>Q46*0.5+(R46+S46)*0.1</f>
        <v>284.19349999999997</v>
      </c>
      <c r="U46" s="34">
        <f>SUM(T46)/$T$5</f>
        <v>1.1738936924489272E-2</v>
      </c>
      <c r="V46" s="34">
        <f>(O46+T46)*1.2</f>
        <v>820.52592000000004</v>
      </c>
      <c r="W46" s="34">
        <f>SUM(V46)/$V$5</f>
        <v>1.2453712233827983E-2</v>
      </c>
      <c r="X46" s="34">
        <f>Y46/$Y$5</f>
        <v>1.1576430861696084E-3</v>
      </c>
      <c r="Y46" s="34">
        <v>39</v>
      </c>
      <c r="Z46" s="34">
        <f>AA46/$AA$5</f>
        <v>4.5927386904840448E-3</v>
      </c>
      <c r="AA46" s="19">
        <v>167.1</v>
      </c>
      <c r="AB46" s="28">
        <v>0</v>
      </c>
      <c r="AC46" s="29">
        <v>0.5</v>
      </c>
    </row>
    <row r="47" spans="1:29" ht="20.100000000000001" customHeight="1" x14ac:dyDescent="0.15">
      <c r="A47" s="48"/>
      <c r="B47" s="70"/>
      <c r="C47" s="70" t="s">
        <v>9</v>
      </c>
      <c r="D47" s="59">
        <f t="shared" si="1"/>
        <v>25</v>
      </c>
      <c r="E47" s="55">
        <v>25</v>
      </c>
      <c r="F47" s="15">
        <f t="shared" si="2"/>
        <v>25.207060669755251</v>
      </c>
      <c r="G47" s="55">
        <v>0</v>
      </c>
      <c r="H47" s="15">
        <f t="shared" si="3"/>
        <v>0</v>
      </c>
      <c r="I47" s="16">
        <f t="shared" si="4"/>
        <v>2.9794954585282297E-2</v>
      </c>
      <c r="J47" s="16">
        <f t="shared" si="5"/>
        <v>9.6652839991392837E-3</v>
      </c>
      <c r="K47" s="16">
        <f t="shared" si="6"/>
        <v>0</v>
      </c>
      <c r="L47" s="16">
        <f t="shared" si="7"/>
        <v>0</v>
      </c>
      <c r="M47" s="20">
        <v>39.725000000000001</v>
      </c>
      <c r="N47" s="20">
        <v>345.89799999999997</v>
      </c>
      <c r="O47" s="17">
        <f>M47*1.5+N47*1.2</f>
        <v>474.66509999999994</v>
      </c>
      <c r="P47" s="17">
        <f>SUM(O47)/$O$5</f>
        <v>1.6277407415241318E-2</v>
      </c>
      <c r="Q47" s="20">
        <v>357.9</v>
      </c>
      <c r="R47" s="17">
        <v>813.99699999999996</v>
      </c>
      <c r="S47" s="17">
        <v>791.78399999999999</v>
      </c>
      <c r="T47" s="34">
        <f>Q47*0.5+(R47+S47)*0.1</f>
        <v>339.52809999999999</v>
      </c>
      <c r="U47" s="34">
        <f>SUM(T47)/$T$5</f>
        <v>1.40245957419564E-2</v>
      </c>
      <c r="V47" s="34">
        <f>(O47+T47)*1.2</f>
        <v>977.03183999999987</v>
      </c>
      <c r="W47" s="34">
        <f>SUM(V47)/$V$5</f>
        <v>1.4829115183402693E-2</v>
      </c>
      <c r="X47" s="34">
        <f>Y47/$Y$5</f>
        <v>5.7288491187367802E-3</v>
      </c>
      <c r="Y47" s="34">
        <v>193</v>
      </c>
      <c r="Z47" s="34">
        <f>AA47/$AA$5</f>
        <v>5.5244792147653686E-4</v>
      </c>
      <c r="AA47" s="19">
        <v>20.100000000000001</v>
      </c>
      <c r="AB47" s="28">
        <v>0.7</v>
      </c>
      <c r="AC47" s="29">
        <v>0</v>
      </c>
    </row>
    <row r="48" spans="1:29" ht="20.100000000000001" customHeight="1" x14ac:dyDescent="0.15">
      <c r="A48" s="48"/>
      <c r="B48" s="70"/>
      <c r="C48" s="70" t="s">
        <v>8</v>
      </c>
      <c r="D48" s="59">
        <f t="shared" si="1"/>
        <v>45</v>
      </c>
      <c r="E48" s="55">
        <v>35</v>
      </c>
      <c r="F48" s="15">
        <f t="shared" si="2"/>
        <v>36.69295121369931</v>
      </c>
      <c r="G48" s="55">
        <v>10</v>
      </c>
      <c r="H48" s="15">
        <f t="shared" si="3"/>
        <v>11.425410624084165</v>
      </c>
      <c r="I48" s="16">
        <f t="shared" si="4"/>
        <v>4.3371372383925189E-2</v>
      </c>
      <c r="J48" s="16">
        <f t="shared" si="5"/>
        <v>1.4069383134087158E-2</v>
      </c>
      <c r="K48" s="16">
        <f t="shared" si="6"/>
        <v>1.9128801373474721E-2</v>
      </c>
      <c r="L48" s="16">
        <f t="shared" si="7"/>
        <v>4.9675698365583328E-3</v>
      </c>
      <c r="M48" s="20">
        <v>202.499</v>
      </c>
      <c r="N48" s="20">
        <v>267.37</v>
      </c>
      <c r="O48" s="17">
        <f t="shared" si="8"/>
        <v>624.59249999999997</v>
      </c>
      <c r="P48" s="17">
        <f>SUM(O48)/$O$5</f>
        <v>2.1418778399768832E-2</v>
      </c>
      <c r="Q48" s="20">
        <v>435.334</v>
      </c>
      <c r="R48" s="17">
        <v>1001.598</v>
      </c>
      <c r="S48" s="17">
        <v>812.13599999999997</v>
      </c>
      <c r="T48" s="34">
        <f t="shared" si="9"/>
        <v>399.04039999999998</v>
      </c>
      <c r="U48" s="34">
        <f>SUM(T48)/$T$5</f>
        <v>1.6482819226769679E-2</v>
      </c>
      <c r="V48" s="34">
        <f>(O48+T48)*1.2</f>
        <v>1228.3594799999998</v>
      </c>
      <c r="W48" s="34">
        <f>SUM(V48)/$V$5</f>
        <v>1.864369559905503E-2</v>
      </c>
      <c r="X48" s="34">
        <f>Y48/$Y$5</f>
        <v>7.0758707405413138E-3</v>
      </c>
      <c r="Y48" s="18">
        <v>238.38</v>
      </c>
      <c r="Z48" s="34">
        <f>AA48/$AA$5</f>
        <v>1.5655439605623651E-3</v>
      </c>
      <c r="AA48" s="19">
        <v>56.96</v>
      </c>
      <c r="AB48" s="28">
        <v>0.8</v>
      </c>
      <c r="AC48" s="29">
        <v>0.5</v>
      </c>
    </row>
    <row r="49" spans="1:29" ht="20.100000000000001" customHeight="1" x14ac:dyDescent="0.15">
      <c r="A49" s="61">
        <v>12</v>
      </c>
      <c r="B49" s="62" t="s">
        <v>67</v>
      </c>
      <c r="C49" s="62"/>
      <c r="D49" s="59">
        <f t="shared" si="1"/>
        <v>150</v>
      </c>
      <c r="E49" s="54">
        <f>SUM(E50:E51)</f>
        <v>100</v>
      </c>
      <c r="F49" s="15"/>
      <c r="G49" s="54">
        <f>SUM(G50:G51)</f>
        <v>50</v>
      </c>
      <c r="H49" s="15"/>
      <c r="I49" s="16"/>
      <c r="J49" s="16"/>
      <c r="K49" s="16"/>
      <c r="L49" s="16"/>
      <c r="M49" s="17"/>
      <c r="N49" s="17"/>
      <c r="O49" s="17"/>
      <c r="P49" s="17"/>
      <c r="Q49" s="17"/>
      <c r="R49" s="17"/>
      <c r="S49" s="17"/>
      <c r="T49" s="34"/>
      <c r="U49" s="34"/>
      <c r="V49" s="34"/>
      <c r="W49" s="34"/>
      <c r="X49" s="34"/>
      <c r="Y49" s="18"/>
      <c r="Z49" s="34"/>
      <c r="AA49" s="19"/>
      <c r="AB49" s="28"/>
      <c r="AC49" s="29"/>
    </row>
    <row r="50" spans="1:29" ht="20.100000000000001" customHeight="1" x14ac:dyDescent="0.15">
      <c r="A50" s="48"/>
      <c r="B50" s="70"/>
      <c r="C50" s="70" t="s">
        <v>28</v>
      </c>
      <c r="D50" s="59">
        <f t="shared" si="1"/>
        <v>70</v>
      </c>
      <c r="E50" s="55">
        <v>50</v>
      </c>
      <c r="F50" s="15">
        <f t="shared" si="2"/>
        <v>57.137987610581582</v>
      </c>
      <c r="G50" s="55">
        <v>20</v>
      </c>
      <c r="H50" s="15">
        <f t="shared" si="3"/>
        <v>24.145767542527004</v>
      </c>
      <c r="I50" s="16">
        <f t="shared" si="4"/>
        <v>6.7537574819040977E-2</v>
      </c>
      <c r="J50" s="16">
        <f t="shared" si="5"/>
        <v>2.1908737580744471E-2</v>
      </c>
      <c r="K50" s="16">
        <f t="shared" si="6"/>
        <v>4.0425644777919316E-2</v>
      </c>
      <c r="L50" s="16">
        <f t="shared" si="7"/>
        <v>1.0498159801098698E-2</v>
      </c>
      <c r="M50" s="17">
        <v>770.92200000000003</v>
      </c>
      <c r="N50" s="17">
        <v>559.33900000000006</v>
      </c>
      <c r="O50" s="17">
        <f t="shared" si="8"/>
        <v>1827.5898000000002</v>
      </c>
      <c r="P50" s="17">
        <f>SUM(O50)/$O$5</f>
        <v>6.2672447927052996E-2</v>
      </c>
      <c r="Q50" s="17">
        <v>1270.393</v>
      </c>
      <c r="R50" s="17">
        <v>4076.1909999999998</v>
      </c>
      <c r="S50" s="17">
        <v>4771.2129999999997</v>
      </c>
      <c r="T50" s="34">
        <f t="shared" ref="T50" si="10">Q50*0.5+(R50+S50)*0.1</f>
        <v>1519.9368999999999</v>
      </c>
      <c r="U50" s="34">
        <f>SUM(T50)/$T$5</f>
        <v>6.2782728663054427E-2</v>
      </c>
      <c r="V50" s="34">
        <f>(O50+T50)*1.2</f>
        <v>4017.0320400000001</v>
      </c>
      <c r="W50" s="34">
        <f>SUM(V50)/$V$5</f>
        <v>6.0969385415913471E-2</v>
      </c>
      <c r="X50" s="34">
        <f>Y50/$Y$5</f>
        <v>2.2601051852317987E-2</v>
      </c>
      <c r="Y50" s="18">
        <v>761.41</v>
      </c>
      <c r="Z50" s="34">
        <f>AA50/$AA$5</f>
        <v>5.5000175903815816E-3</v>
      </c>
      <c r="AA50" s="19">
        <v>200.11</v>
      </c>
      <c r="AB50" s="28">
        <v>0.4</v>
      </c>
      <c r="AC50" s="29">
        <v>0.3</v>
      </c>
    </row>
    <row r="51" spans="1:29" ht="20.100000000000001" customHeight="1" x14ac:dyDescent="0.15">
      <c r="A51" s="48"/>
      <c r="B51" s="70"/>
      <c r="C51" s="70" t="s">
        <v>22</v>
      </c>
      <c r="D51" s="59">
        <f t="shared" si="1"/>
        <v>80</v>
      </c>
      <c r="E51" s="55">
        <v>50</v>
      </c>
      <c r="F51" s="15">
        <f t="shared" si="2"/>
        <v>48.758015565299239</v>
      </c>
      <c r="G51" s="55">
        <v>30</v>
      </c>
      <c r="H51" s="15">
        <f t="shared" si="3"/>
        <v>30.000251036808741</v>
      </c>
      <c r="I51" s="16">
        <f t="shared" si="4"/>
        <v>5.7632378422433628E-2</v>
      </c>
      <c r="J51" s="16">
        <f t="shared" si="5"/>
        <v>1.8695558115528848E-2</v>
      </c>
      <c r="K51" s="16">
        <f t="shared" si="6"/>
        <v>5.0227415199223392E-2</v>
      </c>
      <c r="L51" s="16">
        <f t="shared" si="7"/>
        <v>1.3043587407308148E-2</v>
      </c>
      <c r="M51" s="20">
        <v>235.07599999999999</v>
      </c>
      <c r="N51" s="20">
        <v>552.27700000000004</v>
      </c>
      <c r="O51" s="17">
        <f t="shared" si="8"/>
        <v>1015.3463999999999</v>
      </c>
      <c r="P51" s="17">
        <f>SUM(O51)/$O$5</f>
        <v>3.4818669037177112E-2</v>
      </c>
      <c r="Q51" s="20">
        <v>389.971</v>
      </c>
      <c r="R51" s="17">
        <v>2412.8620000000001</v>
      </c>
      <c r="S51" s="17">
        <v>2623.6619999999998</v>
      </c>
      <c r="T51" s="34">
        <f>Q51*0.5+(R51+S51)*0.1</f>
        <v>698.63789999999995</v>
      </c>
      <c r="U51" s="34">
        <f>SUM(T51)/$T$5</f>
        <v>2.8858035954930861E-2</v>
      </c>
      <c r="V51" s="34">
        <f>(O51+T51)*1.2</f>
        <v>2056.7811599999995</v>
      </c>
      <c r="W51" s="34">
        <f>SUM(V51)/$V$5</f>
        <v>3.1217247463186666E-2</v>
      </c>
      <c r="X51" s="34">
        <f>Y51/$Y$5</f>
        <v>8.1480263372707053E-3</v>
      </c>
      <c r="Y51" s="34">
        <v>274.5</v>
      </c>
      <c r="Z51" s="34">
        <f>AA51/$AA$5</f>
        <v>1.1818537623627404E-2</v>
      </c>
      <c r="AA51" s="19">
        <v>430</v>
      </c>
      <c r="AB51" s="28">
        <v>0.7</v>
      </c>
      <c r="AC51" s="29">
        <v>0.6</v>
      </c>
    </row>
    <row r="52" spans="1:29" ht="20.100000000000001" customHeight="1" x14ac:dyDescent="0.15">
      <c r="A52" s="61">
        <v>13</v>
      </c>
      <c r="B52" s="62" t="s">
        <v>68</v>
      </c>
      <c r="C52" s="62"/>
      <c r="D52" s="59">
        <f t="shared" si="1"/>
        <v>30</v>
      </c>
      <c r="E52" s="54">
        <f>SUM(E53:E53)</f>
        <v>0</v>
      </c>
      <c r="F52" s="15"/>
      <c r="G52" s="54">
        <v>30</v>
      </c>
      <c r="H52" s="15"/>
      <c r="I52" s="16"/>
      <c r="J52" s="16"/>
      <c r="K52" s="16"/>
      <c r="L52" s="16"/>
      <c r="M52" s="17"/>
      <c r="N52" s="17"/>
      <c r="O52" s="17"/>
      <c r="P52" s="17"/>
      <c r="Q52" s="17"/>
      <c r="R52" s="17"/>
      <c r="S52" s="17"/>
      <c r="T52" s="34"/>
      <c r="U52" s="34"/>
      <c r="V52" s="34"/>
      <c r="W52" s="34"/>
      <c r="X52" s="34"/>
      <c r="Y52" s="34"/>
      <c r="Z52" s="34"/>
      <c r="AA52" s="19"/>
      <c r="AB52" s="28"/>
      <c r="AC52" s="29"/>
    </row>
    <row r="53" spans="1:29" ht="20.100000000000001" customHeight="1" x14ac:dyDescent="0.15">
      <c r="A53" s="48"/>
      <c r="B53" s="70"/>
      <c r="C53" s="70" t="s">
        <v>28</v>
      </c>
      <c r="D53" s="59">
        <f t="shared" si="1"/>
        <v>30</v>
      </c>
      <c r="E53" s="55">
        <v>0</v>
      </c>
      <c r="F53" s="15">
        <f t="shared" si="2"/>
        <v>0</v>
      </c>
      <c r="G53" s="55">
        <v>30</v>
      </c>
      <c r="H53" s="15">
        <f t="shared" si="3"/>
        <v>28.955008789011721</v>
      </c>
      <c r="I53" s="16">
        <f t="shared" si="4"/>
        <v>0</v>
      </c>
      <c r="J53" s="16">
        <f t="shared" si="5"/>
        <v>0</v>
      </c>
      <c r="K53" s="16">
        <f t="shared" si="6"/>
        <v>4.8477435964067797E-2</v>
      </c>
      <c r="L53" s="16">
        <f t="shared" si="7"/>
        <v>1.2589134256092052E-2</v>
      </c>
      <c r="M53" s="17">
        <v>55.138999999999996</v>
      </c>
      <c r="N53" s="17">
        <v>240.74600000000001</v>
      </c>
      <c r="O53" s="17">
        <f t="shared" si="8"/>
        <v>371.6037</v>
      </c>
      <c r="P53" s="17">
        <f>SUM(O53)/$O$5</f>
        <v>1.2743184240659594E-2</v>
      </c>
      <c r="Q53" s="17">
        <v>236.41899999999998</v>
      </c>
      <c r="R53" s="17">
        <v>511.755</v>
      </c>
      <c r="S53" s="17">
        <v>1663.5120000000002</v>
      </c>
      <c r="T53" s="34">
        <f t="shared" ref="T53:T60" si="11">Q53*0.5+(R53+S53)*0.1</f>
        <v>335.73620000000005</v>
      </c>
      <c r="U53" s="34">
        <f>SUM(T53)/$T$5</f>
        <v>1.3867966984001098E-2</v>
      </c>
      <c r="V53" s="34">
        <f>(O53+T53)*1.2</f>
        <v>848.80788000000007</v>
      </c>
      <c r="W53" s="34">
        <f>SUM(V53)/$V$5</f>
        <v>1.2882967888845725E-2</v>
      </c>
      <c r="X53" s="34">
        <f>Y53/$Y$5</f>
        <v>2.285603016283586E-4</v>
      </c>
      <c r="Y53" s="34">
        <v>7.7</v>
      </c>
      <c r="Z53" s="34">
        <f>AA53/$AA$5</f>
        <v>2.7836778849325196E-3</v>
      </c>
      <c r="AA53" s="19">
        <v>101.28</v>
      </c>
      <c r="AB53" s="28">
        <v>0</v>
      </c>
      <c r="AC53" s="29">
        <v>1.5</v>
      </c>
    </row>
    <row r="54" spans="1:29" ht="20.100000000000001" customHeight="1" x14ac:dyDescent="0.15">
      <c r="A54" s="61">
        <v>14</v>
      </c>
      <c r="B54" s="62" t="s">
        <v>69</v>
      </c>
      <c r="C54" s="62"/>
      <c r="D54" s="59">
        <f t="shared" si="1"/>
        <v>50</v>
      </c>
      <c r="E54" s="54">
        <f>SUM(E55:E56)</f>
        <v>25</v>
      </c>
      <c r="F54" s="15"/>
      <c r="G54" s="54">
        <f>SUM(G55:G56)</f>
        <v>25</v>
      </c>
      <c r="H54" s="15"/>
      <c r="I54" s="16"/>
      <c r="J54" s="16"/>
      <c r="K54" s="16"/>
      <c r="L54" s="16"/>
      <c r="M54" s="17"/>
      <c r="N54" s="17"/>
      <c r="O54" s="17"/>
      <c r="P54" s="17"/>
      <c r="Q54" s="17"/>
      <c r="R54" s="17"/>
      <c r="S54" s="17"/>
      <c r="T54" s="34"/>
      <c r="U54" s="34"/>
      <c r="V54" s="34"/>
      <c r="W54" s="34"/>
      <c r="X54" s="34"/>
      <c r="Y54" s="34"/>
      <c r="Z54" s="34"/>
      <c r="AA54" s="19"/>
      <c r="AB54" s="28"/>
      <c r="AC54" s="29"/>
    </row>
    <row r="55" spans="1:29" ht="20.100000000000001" customHeight="1" x14ac:dyDescent="0.15">
      <c r="A55" s="48"/>
      <c r="B55" s="70"/>
      <c r="C55" s="70" t="s">
        <v>24</v>
      </c>
      <c r="D55" s="59">
        <f t="shared" si="1"/>
        <v>10</v>
      </c>
      <c r="E55" s="55">
        <v>0</v>
      </c>
      <c r="F55" s="15">
        <f t="shared" si="2"/>
        <v>0</v>
      </c>
      <c r="G55" s="55">
        <v>10</v>
      </c>
      <c r="H55" s="15">
        <f t="shared" si="3"/>
        <v>9.0083304684948633</v>
      </c>
      <c r="I55" s="16">
        <f t="shared" si="4"/>
        <v>0</v>
      </c>
      <c r="J55" s="16">
        <f t="shared" si="5"/>
        <v>0</v>
      </c>
      <c r="K55" s="16">
        <f t="shared" si="6"/>
        <v>1.5082045618143494E-2</v>
      </c>
      <c r="L55" s="16">
        <f t="shared" si="7"/>
        <v>3.9166654210847232E-3</v>
      </c>
      <c r="M55" s="20">
        <v>88.717999999999989</v>
      </c>
      <c r="N55" s="20">
        <v>184.83600000000001</v>
      </c>
      <c r="O55" s="17">
        <f>M55*1.5+N55*1.2</f>
        <v>354.8802</v>
      </c>
      <c r="P55" s="17">
        <f>SUM(O55)/$O$5</f>
        <v>1.2169695220909063E-2</v>
      </c>
      <c r="Q55" s="20">
        <v>207.34400000000002</v>
      </c>
      <c r="R55" s="17">
        <v>748.28099999999995</v>
      </c>
      <c r="S55" s="17">
        <v>923.99400000000003</v>
      </c>
      <c r="T55" s="34">
        <f>Q55*0.5+(R55+S55)*0.1</f>
        <v>270.89950000000005</v>
      </c>
      <c r="U55" s="34">
        <f>SUM(T55)/$T$5</f>
        <v>1.1189813079383175E-2</v>
      </c>
      <c r="V55" s="34">
        <f>(O55+T55)*1.5</f>
        <v>938.66955000000007</v>
      </c>
      <c r="W55" s="34">
        <f>SUM(V55)/$V$5</f>
        <v>1.4246863107452851E-2</v>
      </c>
      <c r="X55" s="34">
        <f>Y55/$Y$5</f>
        <v>0</v>
      </c>
      <c r="Y55" s="34">
        <v>0</v>
      </c>
      <c r="Z55" s="34">
        <f>AA55/$AA$5</f>
        <v>2.363707524725481E-3</v>
      </c>
      <c r="AA55" s="19">
        <v>86</v>
      </c>
      <c r="AB55" s="28">
        <v>0</v>
      </c>
      <c r="AC55" s="29">
        <v>0.5</v>
      </c>
    </row>
    <row r="56" spans="1:29" ht="20.100000000000001" customHeight="1" x14ac:dyDescent="0.15">
      <c r="A56" s="48"/>
      <c r="B56" s="70"/>
      <c r="C56" s="70" t="s">
        <v>23</v>
      </c>
      <c r="D56" s="59">
        <f t="shared" si="1"/>
        <v>40</v>
      </c>
      <c r="E56" s="55">
        <v>25</v>
      </c>
      <c r="F56" s="15">
        <f t="shared" si="2"/>
        <v>24.971117892484457</v>
      </c>
      <c r="G56" s="55">
        <v>15</v>
      </c>
      <c r="H56" s="15">
        <f t="shared" si="3"/>
        <v>14.00920902340037</v>
      </c>
      <c r="I56" s="16">
        <f t="shared" si="4"/>
        <v>2.9516068267452168E-2</v>
      </c>
      <c r="J56" s="16">
        <f t="shared" si="5"/>
        <v>9.5748151428237949E-3</v>
      </c>
      <c r="K56" s="16">
        <f t="shared" si="6"/>
        <v>2.3454682341414408E-2</v>
      </c>
      <c r="L56" s="16">
        <f t="shared" si="7"/>
        <v>6.0909604449566829E-3</v>
      </c>
      <c r="M56" s="20">
        <v>85.143000000000001</v>
      </c>
      <c r="N56" s="20">
        <v>151.31200000000001</v>
      </c>
      <c r="O56" s="17">
        <f t="shared" si="8"/>
        <v>309.28890000000001</v>
      </c>
      <c r="P56" s="17">
        <f>SUM(O56)/$O$5</f>
        <v>1.0606259938453093E-2</v>
      </c>
      <c r="Q56" s="20">
        <v>231.45399999999998</v>
      </c>
      <c r="R56" s="17">
        <v>612.09699999999998</v>
      </c>
      <c r="S56" s="17">
        <v>334.858</v>
      </c>
      <c r="T56" s="34">
        <f t="shared" si="11"/>
        <v>210.42249999999999</v>
      </c>
      <c r="U56" s="34">
        <f>SUM(T56)/$T$5</f>
        <v>8.6917415598644718E-3</v>
      </c>
      <c r="V56" s="34">
        <f>(O56+T56)*1.5</f>
        <v>779.56709999999998</v>
      </c>
      <c r="W56" s="34">
        <f>SUM(V56)/$V$5</f>
        <v>1.1832050753935723E-2</v>
      </c>
      <c r="X56" s="34">
        <f>Y56/$Y$5</f>
        <v>2.5675929988120801E-2</v>
      </c>
      <c r="Y56" s="34">
        <v>865</v>
      </c>
      <c r="Z56" s="34">
        <f>AA56/$AA$5</f>
        <v>1.3192786184514312E-2</v>
      </c>
      <c r="AA56" s="19">
        <v>480</v>
      </c>
      <c r="AB56" s="28">
        <v>0.4</v>
      </c>
      <c r="AC56" s="29">
        <v>0.5</v>
      </c>
    </row>
    <row r="57" spans="1:29" ht="20.100000000000001" customHeight="1" x14ac:dyDescent="0.15">
      <c r="A57" s="61">
        <v>15</v>
      </c>
      <c r="B57" s="62" t="s">
        <v>70</v>
      </c>
      <c r="C57" s="62"/>
      <c r="D57" s="59">
        <f t="shared" si="1"/>
        <v>200</v>
      </c>
      <c r="E57" s="54">
        <f>SUM(E58:E60)</f>
        <v>150</v>
      </c>
      <c r="F57" s="15"/>
      <c r="G57" s="54">
        <f>SUM(G58:G60)</f>
        <v>50</v>
      </c>
      <c r="H57" s="15"/>
      <c r="I57" s="16"/>
      <c r="J57" s="16"/>
      <c r="K57" s="16"/>
      <c r="L57" s="16"/>
      <c r="M57" s="17"/>
      <c r="N57" s="17"/>
      <c r="O57" s="17"/>
      <c r="P57" s="17"/>
      <c r="Q57" s="17"/>
      <c r="R57" s="17"/>
      <c r="S57" s="17"/>
      <c r="T57" s="34"/>
      <c r="U57" s="34"/>
      <c r="V57" s="34"/>
      <c r="W57" s="34"/>
      <c r="X57" s="34"/>
      <c r="Y57" s="34"/>
      <c r="Z57" s="34"/>
      <c r="AA57" s="19"/>
      <c r="AB57" s="28"/>
      <c r="AC57" s="29"/>
    </row>
    <row r="58" spans="1:29" ht="20.100000000000001" customHeight="1" x14ac:dyDescent="0.15">
      <c r="A58" s="48"/>
      <c r="B58" s="70"/>
      <c r="C58" s="70" t="s">
        <v>28</v>
      </c>
      <c r="D58" s="59">
        <f t="shared" si="1"/>
        <v>110</v>
      </c>
      <c r="E58" s="55">
        <v>90</v>
      </c>
      <c r="F58" s="15">
        <f t="shared" si="2"/>
        <v>94.611041808644984</v>
      </c>
      <c r="G58" s="55">
        <v>20</v>
      </c>
      <c r="H58" s="15">
        <f t="shared" si="3"/>
        <v>19.425749473838064</v>
      </c>
      <c r="I58" s="16">
        <f t="shared" si="4"/>
        <v>0.11183103539466317</v>
      </c>
      <c r="J58" s="16">
        <f t="shared" si="5"/>
        <v>3.6277239957302525E-2</v>
      </c>
      <c r="K58" s="16">
        <f t="shared" si="6"/>
        <v>3.2523233994989589E-2</v>
      </c>
      <c r="L58" s="16">
        <f t="shared" si="7"/>
        <v>8.4459780321035054E-3</v>
      </c>
      <c r="M58" s="17">
        <v>125.125</v>
      </c>
      <c r="N58" s="17">
        <v>630.17399999999998</v>
      </c>
      <c r="O58" s="17">
        <f t="shared" si="8"/>
        <v>943.8963</v>
      </c>
      <c r="P58" s="17">
        <f>SUM(O58)/$O$5</f>
        <v>3.2368473335913771E-2</v>
      </c>
      <c r="Q58" s="17">
        <v>739.16200000000003</v>
      </c>
      <c r="R58" s="17">
        <v>1058.5990000000002</v>
      </c>
      <c r="S58" s="17">
        <v>1707.924</v>
      </c>
      <c r="T58" s="34">
        <f t="shared" si="11"/>
        <v>646.2333000000001</v>
      </c>
      <c r="U58" s="34">
        <f>SUM(T58)/$T$5</f>
        <v>2.6693404132059863E-2</v>
      </c>
      <c r="V58" s="34">
        <f>(O58+T58)*1.2</f>
        <v>1908.1555200000003</v>
      </c>
      <c r="W58" s="34">
        <f>SUM(V58)/$V$5</f>
        <v>2.8961449192818189E-2</v>
      </c>
      <c r="X58" s="34">
        <f>Y58/$Y$5</f>
        <v>6.2527568231186673E-2</v>
      </c>
      <c r="Y58" s="34">
        <v>2106.5</v>
      </c>
      <c r="Z58" s="34">
        <f>AA58/$AA$5</f>
        <v>4.6958073325505624E-3</v>
      </c>
      <c r="AA58" s="19">
        <v>170.85</v>
      </c>
      <c r="AB58" s="28">
        <v>0.6</v>
      </c>
      <c r="AC58" s="29">
        <v>0.5</v>
      </c>
    </row>
    <row r="59" spans="1:29" ht="20.100000000000001" customHeight="1" x14ac:dyDescent="0.15">
      <c r="A59" s="48"/>
      <c r="B59" s="70"/>
      <c r="C59" s="70" t="s">
        <v>26</v>
      </c>
      <c r="D59" s="59">
        <f t="shared" si="1"/>
        <v>40</v>
      </c>
      <c r="E59" s="55">
        <v>10</v>
      </c>
      <c r="F59" s="15">
        <f t="shared" si="2"/>
        <v>11.652307170233462</v>
      </c>
      <c r="G59" s="55">
        <v>30</v>
      </c>
      <c r="H59" s="15">
        <f t="shared" si="3"/>
        <v>28.822434106073867</v>
      </c>
      <c r="I59" s="16">
        <f t="shared" si="4"/>
        <v>1.3773123629897471E-2</v>
      </c>
      <c r="J59" s="16">
        <f t="shared" si="5"/>
        <v>4.4679091910404378E-3</v>
      </c>
      <c r="K59" s="16">
        <f t="shared" si="6"/>
        <v>4.8255475033252428E-2</v>
      </c>
      <c r="L59" s="16">
        <f t="shared" si="7"/>
        <v>1.2531493089597334E-2</v>
      </c>
      <c r="M59" s="20">
        <v>134.49699999999999</v>
      </c>
      <c r="N59" s="20">
        <v>174.447</v>
      </c>
      <c r="O59" s="17">
        <f>M59*1.5+N59*1.2</f>
        <v>411.08190000000002</v>
      </c>
      <c r="P59" s="17">
        <f>SUM(O59)/$O$5</f>
        <v>1.4096986627690745E-2</v>
      </c>
      <c r="Q59" s="20">
        <v>285.65699999999998</v>
      </c>
      <c r="R59" s="17">
        <v>986.822</v>
      </c>
      <c r="S59" s="17">
        <v>1323.087</v>
      </c>
      <c r="T59" s="34">
        <f>Q59*0.5+(R59+S59)*0.1</f>
        <v>373.81939999999997</v>
      </c>
      <c r="U59" s="34">
        <f>SUM(T59)/$T$5</f>
        <v>1.5441037031988503E-2</v>
      </c>
      <c r="V59" s="34">
        <f>(O59+T59)*1.2</f>
        <v>941.88155999999992</v>
      </c>
      <c r="W59" s="34">
        <f>SUM(V59)/$V$5</f>
        <v>1.4295614094176312E-2</v>
      </c>
      <c r="X59" s="34">
        <f>Y59/$Y$5</f>
        <v>8.7589056888955907E-3</v>
      </c>
      <c r="Y59" s="18">
        <v>295.08</v>
      </c>
      <c r="Z59" s="34">
        <f>AA59/$AA$5</f>
        <v>9.2594119535438051E-3</v>
      </c>
      <c r="AA59" s="19">
        <v>336.89</v>
      </c>
      <c r="AB59" s="28">
        <v>0.3</v>
      </c>
      <c r="AC59" s="29">
        <v>1</v>
      </c>
    </row>
    <row r="60" spans="1:29" ht="20.100000000000001" customHeight="1" thickBot="1" x14ac:dyDescent="0.2">
      <c r="A60" s="50"/>
      <c r="B60" s="51"/>
      <c r="C60" s="51" t="s">
        <v>25</v>
      </c>
      <c r="D60" s="65">
        <f t="shared" si="1"/>
        <v>50</v>
      </c>
      <c r="E60" s="58">
        <v>50</v>
      </c>
      <c r="F60" s="22">
        <f t="shared" si="2"/>
        <v>49.483932050932488</v>
      </c>
      <c r="G60" s="58">
        <v>0</v>
      </c>
      <c r="H60" s="22">
        <f>L60*2300</f>
        <v>0</v>
      </c>
      <c r="I60" s="23">
        <f>(P60+W60+X60)*AB60</f>
        <v>5.8490417723624413E-2</v>
      </c>
      <c r="J60" s="23">
        <f>I60/$I$5</f>
        <v>1.8973900326277795E-2</v>
      </c>
      <c r="K60" s="23">
        <f t="shared" si="6"/>
        <v>0</v>
      </c>
      <c r="L60" s="23">
        <f t="shared" si="7"/>
        <v>0</v>
      </c>
      <c r="M60" s="24">
        <v>68.599999999999994</v>
      </c>
      <c r="N60" s="24">
        <v>196.44200000000001</v>
      </c>
      <c r="O60" s="25">
        <f t="shared" si="8"/>
        <v>338.63040000000001</v>
      </c>
      <c r="P60" s="25">
        <f>SUM(O60)/$O$5</f>
        <v>1.1612450512974588E-2</v>
      </c>
      <c r="Q60" s="24">
        <v>204.36399999999998</v>
      </c>
      <c r="R60" s="25">
        <v>260.22500000000002</v>
      </c>
      <c r="S60" s="25">
        <v>601.18799999999999</v>
      </c>
      <c r="T60" s="35">
        <f t="shared" si="11"/>
        <v>188.32329999999999</v>
      </c>
      <c r="U60" s="35">
        <f>SUM(T60)/$T$5</f>
        <v>7.7789088776191945E-3</v>
      </c>
      <c r="V60" s="35">
        <f>(O60+T60)*1.2</f>
        <v>632.34443999999996</v>
      </c>
      <c r="W60" s="35">
        <f>SUM(V60)/$V$5</f>
        <v>9.5975465204330233E-3</v>
      </c>
      <c r="X60" s="35">
        <f>Y60/$Y$5</f>
        <v>2.7532017736279404E-2</v>
      </c>
      <c r="Y60" s="26">
        <v>927.53</v>
      </c>
      <c r="Z60" s="35">
        <v>0</v>
      </c>
      <c r="AA60" s="27">
        <v>1.05</v>
      </c>
      <c r="AB60" s="36">
        <v>1.2</v>
      </c>
      <c r="AC60" s="37">
        <v>0</v>
      </c>
    </row>
  </sheetData>
  <mergeCells count="12">
    <mergeCell ref="A2:AC2"/>
    <mergeCell ref="A5:C5"/>
    <mergeCell ref="D3:D4"/>
    <mergeCell ref="E3:F3"/>
    <mergeCell ref="K3:L3"/>
    <mergeCell ref="Z3:AA3"/>
    <mergeCell ref="G3:H3"/>
    <mergeCell ref="V3:W3"/>
    <mergeCell ref="I3:J3"/>
    <mergeCell ref="X3:Y3"/>
    <mergeCell ref="Q3:U3"/>
    <mergeCell ref="M3:P3"/>
  </mergeCells>
  <phoneticPr fontId="21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73" fitToHeight="0" orientation="landscape" useFirstPageNumber="1" r:id="rId1"/>
  <ignoredErrors>
    <ignoredError sqref="F5:G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2023年第一批全省普通公路灾毁修复计划资金因素法分配建议表</vt:lpstr>
      <vt:lpstr>'2023年第一批全省普通公路灾毁修复计划资金因素法分配建议表'!Print_Titles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2009-11-04T08:43:01Z</cp:lastPrinted>
  <dcterms:created xsi:type="dcterms:W3CDTF">1996-12-17T01:32:42Z</dcterms:created>
  <dcterms:modified xsi:type="dcterms:W3CDTF">2023-09-15T01:57:47Z</dcterms:modified>
</cp:coreProperties>
</file>